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omments3.xml" ContentType="application/vnd.openxmlformats-officedocument.spreadsheetml.comment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omments4.xml" ContentType="application/vnd.openxmlformats-officedocument.spreadsheetml.comments+xml"/>
  <Override PartName="/xl/customProperty11.bin" ContentType="application/vnd.openxmlformats-officedocument.spreadsheetml.customProperty"/>
  <Override PartName="/xl/comments5.xml" ContentType="application/vnd.openxmlformats-officedocument.spreadsheetml.comments+xml"/>
  <Override PartName="/xl/customProperty12.bin" ContentType="application/vnd.openxmlformats-officedocument.spreadsheetml.customProperty"/>
  <Override PartName="/xl/comments6.xml" ContentType="application/vnd.openxmlformats-officedocument.spreadsheetml.comments+xml"/>
  <Override PartName="/xl/customProperty13.bin" ContentType="application/vnd.openxmlformats-officedocument.spreadsheetml.customProperty"/>
  <Override PartName="/xl/comments7.xml" ContentType="application/vnd.openxmlformats-officedocument.spreadsheetml.comments+xml"/>
  <Override PartName="/xl/customProperty14.bin" ContentType="application/vnd.openxmlformats-officedocument.spreadsheetml.customProperty"/>
  <Override PartName="/xl/comments8.xml" ContentType="application/vnd.openxmlformats-officedocument.spreadsheetml.comments+xml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5480" windowHeight="7815" firstSheet="14" activeTab="14"/>
  </bookViews>
  <sheets>
    <sheet name="Sheet1" sheetId="1" r:id="rId1"/>
    <sheet name="NVA new" sheetId="6" r:id="rId2"/>
    <sheet name="Sheet5" sheetId="5" state="hidden" r:id="rId3"/>
    <sheet name="Sheet6" sheetId="9" state="hidden" r:id="rId4"/>
    <sheet name="NVA n" sheetId="10" state="hidden" r:id="rId5"/>
    <sheet name="Sheet2" sheetId="2" state="hidden" r:id="rId6"/>
    <sheet name="price" sheetId="3" state="hidden" r:id="rId7"/>
    <sheet name="feed" sheetId="4" state="hidden" r:id="rId8"/>
    <sheet name="Sheet4" sheetId="8" state="hidden" r:id="rId9"/>
    <sheet name="NVA o " sheetId="11" state="hidden" r:id="rId10"/>
    <sheet name="NVA HTAS" sheetId="12" state="hidden" r:id="rId11"/>
    <sheet name="NVA UOP" sheetId="13" state="hidden" r:id="rId12"/>
    <sheet name="NVA ART" sheetId="14" state="hidden" r:id="rId13"/>
    <sheet name="Sheet3" sheetId="15" state="hidden" r:id="rId14"/>
    <sheet name="SOS&amp;W" sheetId="19" r:id="rId15"/>
  </sheets>
  <definedNames>
    <definedName name="_xlnm.Print_Area" localSheetId="0">Sheet1!$A$1:$I$40</definedName>
  </definedNames>
  <calcPr calcId="145621"/>
</workbook>
</file>

<file path=xl/calcChain.xml><?xml version="1.0" encoding="utf-8"?>
<calcChain xmlns="http://schemas.openxmlformats.org/spreadsheetml/2006/main">
  <c r="B37" i="19" l="1"/>
  <c r="B38" i="19"/>
  <c r="B39" i="19"/>
  <c r="B40" i="19"/>
  <c r="B41" i="19"/>
  <c r="B42" i="19" s="1"/>
  <c r="B36" i="19"/>
  <c r="E23" i="15" l="1"/>
  <c r="G15" i="15" s="1"/>
  <c r="D23" i="15"/>
  <c r="F22" i="15" s="1"/>
  <c r="F16" i="15"/>
  <c r="K10" i="15"/>
  <c r="J10" i="15"/>
  <c r="H10" i="15"/>
  <c r="E9" i="15"/>
  <c r="E11" i="15" s="1"/>
  <c r="D9" i="15"/>
  <c r="D11" i="15" s="1"/>
  <c r="H8" i="15"/>
  <c r="I8" i="15" s="1"/>
  <c r="H7" i="15"/>
  <c r="I7" i="15" s="1"/>
  <c r="H6" i="15"/>
  <c r="I6" i="15" s="1"/>
  <c r="H5" i="15"/>
  <c r="I5" i="15" s="1"/>
  <c r="E23" i="14"/>
  <c r="G22" i="14" s="1"/>
  <c r="D23" i="14"/>
  <c r="F22" i="14" s="1"/>
  <c r="G14" i="14"/>
  <c r="H10" i="14"/>
  <c r="E9" i="14"/>
  <c r="E11" i="14" s="1"/>
  <c r="E24" i="14" s="1"/>
  <c r="D9" i="14"/>
  <c r="D11" i="14" s="1"/>
  <c r="H8" i="14"/>
  <c r="I8" i="14" s="1"/>
  <c r="H7" i="14"/>
  <c r="I7" i="14" s="1"/>
  <c r="H6" i="14"/>
  <c r="I6" i="14" s="1"/>
  <c r="H5" i="14"/>
  <c r="I5" i="14" s="1"/>
  <c r="E23" i="13"/>
  <c r="G15" i="13" s="1"/>
  <c r="D23" i="13"/>
  <c r="F19" i="13" s="1"/>
  <c r="F22" i="13"/>
  <c r="G21" i="13"/>
  <c r="G19" i="13"/>
  <c r="G17" i="13"/>
  <c r="F17" i="13"/>
  <c r="F14" i="13"/>
  <c r="H10" i="13"/>
  <c r="E9" i="13"/>
  <c r="E11" i="13" s="1"/>
  <c r="D9" i="13"/>
  <c r="D11" i="13" s="1"/>
  <c r="H8" i="13"/>
  <c r="I8" i="13" s="1"/>
  <c r="H7" i="13"/>
  <c r="I7" i="13" s="1"/>
  <c r="H6" i="13"/>
  <c r="I6" i="13" s="1"/>
  <c r="H5" i="13"/>
  <c r="I5" i="13" s="1"/>
  <c r="J5" i="13" s="1"/>
  <c r="H30" i="11"/>
  <c r="E23" i="12"/>
  <c r="G21" i="12" s="1"/>
  <c r="D23" i="12"/>
  <c r="F22" i="12" s="1"/>
  <c r="H10" i="12"/>
  <c r="E9" i="12"/>
  <c r="E11" i="12" s="1"/>
  <c r="D9" i="12"/>
  <c r="D11" i="12" s="1"/>
  <c r="H8" i="12"/>
  <c r="I8" i="12" s="1"/>
  <c r="I7" i="12"/>
  <c r="K7" i="12" s="1"/>
  <c r="H7" i="12"/>
  <c r="H6" i="12"/>
  <c r="I6" i="12" s="1"/>
  <c r="H5" i="12"/>
  <c r="I5" i="12" s="1"/>
  <c r="J5" i="12" s="1"/>
  <c r="F14" i="14" l="1"/>
  <c r="F19" i="15"/>
  <c r="F15" i="15"/>
  <c r="F20" i="15"/>
  <c r="F17" i="15"/>
  <c r="K6" i="14"/>
  <c r="J6" i="14"/>
  <c r="K7" i="13"/>
  <c r="J7" i="13"/>
  <c r="K8" i="15"/>
  <c r="J8" i="15"/>
  <c r="K8" i="14"/>
  <c r="J8" i="14"/>
  <c r="K6" i="15"/>
  <c r="J6" i="15"/>
  <c r="F21" i="15"/>
  <c r="F14" i="15"/>
  <c r="F18" i="15"/>
  <c r="F23" i="15" s="1"/>
  <c r="F20" i="13"/>
  <c r="F15" i="13"/>
  <c r="H15" i="13" s="1"/>
  <c r="F36" i="13" s="1"/>
  <c r="F18" i="13"/>
  <c r="F21" i="13"/>
  <c r="F23" i="13" s="1"/>
  <c r="H15" i="15"/>
  <c r="F36" i="15" s="1"/>
  <c r="J7" i="12"/>
  <c r="F16" i="13"/>
  <c r="G17" i="15"/>
  <c r="G19" i="15"/>
  <c r="G21" i="15"/>
  <c r="G14" i="15"/>
  <c r="H17" i="15"/>
  <c r="F37" i="15" s="1"/>
  <c r="H21" i="15"/>
  <c r="H14" i="15"/>
  <c r="G16" i="15"/>
  <c r="G18" i="15"/>
  <c r="G20" i="15"/>
  <c r="G22" i="15"/>
  <c r="H16" i="15"/>
  <c r="H18" i="15"/>
  <c r="H20" i="15"/>
  <c r="H22" i="15"/>
  <c r="J5" i="15"/>
  <c r="I9" i="15"/>
  <c r="I11" i="15" s="1"/>
  <c r="K5" i="15"/>
  <c r="L5" i="15"/>
  <c r="J7" i="15"/>
  <c r="K7" i="15"/>
  <c r="L7" i="15"/>
  <c r="O7" i="15" s="1"/>
  <c r="D24" i="15"/>
  <c r="D25" i="15" s="1"/>
  <c r="E24" i="15"/>
  <c r="E25" i="15" s="1"/>
  <c r="L6" i="15"/>
  <c r="O6" i="15" s="1"/>
  <c r="L8" i="15"/>
  <c r="O8" i="15" s="1"/>
  <c r="H9" i="15"/>
  <c r="H11" i="15" s="1"/>
  <c r="J5" i="14"/>
  <c r="I9" i="14"/>
  <c r="K5" i="14"/>
  <c r="L5" i="14"/>
  <c r="J7" i="14"/>
  <c r="K7" i="14"/>
  <c r="L7" i="14"/>
  <c r="O7" i="14" s="1"/>
  <c r="D24" i="14"/>
  <c r="D25" i="14" s="1"/>
  <c r="H22" i="14"/>
  <c r="E25" i="14"/>
  <c r="G15" i="14"/>
  <c r="L6" i="14"/>
  <c r="O6" i="14" s="1"/>
  <c r="L8" i="14"/>
  <c r="O8" i="14" s="1"/>
  <c r="H9" i="14"/>
  <c r="H11" i="14" s="1"/>
  <c r="F15" i="14"/>
  <c r="H15" i="14" s="1"/>
  <c r="F36" i="14" s="1"/>
  <c r="G16" i="14"/>
  <c r="G17" i="14"/>
  <c r="G18" i="14"/>
  <c r="G19" i="14"/>
  <c r="G20" i="14"/>
  <c r="G21" i="14"/>
  <c r="H14" i="14"/>
  <c r="F16" i="14"/>
  <c r="H16" i="14" s="1"/>
  <c r="F17" i="14"/>
  <c r="F18" i="14"/>
  <c r="F19" i="14"/>
  <c r="H19" i="14" s="1"/>
  <c r="F20" i="14"/>
  <c r="H20" i="14" s="1"/>
  <c r="F21" i="14"/>
  <c r="H17" i="13"/>
  <c r="F37" i="13" s="1"/>
  <c r="H19" i="13"/>
  <c r="F39" i="13" s="1"/>
  <c r="G14" i="13"/>
  <c r="G16" i="13"/>
  <c r="G18" i="13"/>
  <c r="G20" i="13"/>
  <c r="G22" i="13"/>
  <c r="H16" i="13"/>
  <c r="H18" i="13"/>
  <c r="H20" i="13"/>
  <c r="H22" i="13"/>
  <c r="J6" i="13"/>
  <c r="K6" i="13"/>
  <c r="L6" i="13"/>
  <c r="O6" i="13" s="1"/>
  <c r="J8" i="13"/>
  <c r="K8" i="13"/>
  <c r="L8" i="13"/>
  <c r="O8" i="13" s="1"/>
  <c r="I9" i="13"/>
  <c r="H9" i="13"/>
  <c r="H11" i="13" s="1"/>
  <c r="E24" i="13"/>
  <c r="E25" i="13" s="1"/>
  <c r="L5" i="13"/>
  <c r="L7" i="13"/>
  <c r="O7" i="13" s="1"/>
  <c r="D24" i="13"/>
  <c r="D25" i="13" s="1"/>
  <c r="K5" i="13"/>
  <c r="G16" i="12"/>
  <c r="G20" i="12"/>
  <c r="G15" i="12"/>
  <c r="G19" i="12"/>
  <c r="G14" i="12"/>
  <c r="G18" i="12"/>
  <c r="G22" i="12"/>
  <c r="H22" i="12" s="1"/>
  <c r="G17" i="12"/>
  <c r="F14" i="12"/>
  <c r="F16" i="12"/>
  <c r="F18" i="12"/>
  <c r="F20" i="12"/>
  <c r="F15" i="12"/>
  <c r="F17" i="12"/>
  <c r="F19" i="12"/>
  <c r="F21" i="12"/>
  <c r="H21" i="12" s="1"/>
  <c r="H14" i="12"/>
  <c r="J6" i="12"/>
  <c r="K6" i="12"/>
  <c r="L6" i="12"/>
  <c r="O6" i="12" s="1"/>
  <c r="L8" i="12"/>
  <c r="O8" i="12" s="1"/>
  <c r="J8" i="12"/>
  <c r="K8" i="12"/>
  <c r="I9" i="12"/>
  <c r="H9" i="12"/>
  <c r="H11" i="12" s="1"/>
  <c r="E24" i="12"/>
  <c r="E25" i="12" s="1"/>
  <c r="L5" i="12"/>
  <c r="L7" i="12"/>
  <c r="O7" i="12" s="1"/>
  <c r="D24" i="12"/>
  <c r="D25" i="12" s="1"/>
  <c r="K5" i="12"/>
  <c r="K9" i="12" s="1"/>
  <c r="E23" i="11"/>
  <c r="G15" i="11" s="1"/>
  <c r="D23" i="11"/>
  <c r="F22" i="11" s="1"/>
  <c r="H10" i="11"/>
  <c r="E9" i="11"/>
  <c r="E11" i="11" s="1"/>
  <c r="D9" i="11"/>
  <c r="D11" i="11" s="1"/>
  <c r="H8" i="11"/>
  <c r="I8" i="11" s="1"/>
  <c r="H7" i="11"/>
  <c r="I7" i="11" s="1"/>
  <c r="H6" i="11"/>
  <c r="I6" i="11" s="1"/>
  <c r="H5" i="11"/>
  <c r="I5" i="11" s="1"/>
  <c r="E23" i="10"/>
  <c r="G20" i="10" s="1"/>
  <c r="D23" i="10"/>
  <c r="F17" i="10" s="1"/>
  <c r="H10" i="10"/>
  <c r="E9" i="10"/>
  <c r="E11" i="10" s="1"/>
  <c r="D9" i="10"/>
  <c r="D11" i="10" s="1"/>
  <c r="H8" i="10"/>
  <c r="I8" i="10" s="1"/>
  <c r="L8" i="10" s="1"/>
  <c r="O8" i="10" s="1"/>
  <c r="H7" i="10"/>
  <c r="I7" i="10" s="1"/>
  <c r="J7" i="10" s="1"/>
  <c r="H6" i="10"/>
  <c r="I6" i="10" s="1"/>
  <c r="L6" i="10" s="1"/>
  <c r="O6" i="10" s="1"/>
  <c r="H5" i="10"/>
  <c r="I5" i="10" s="1"/>
  <c r="J5" i="10" s="1"/>
  <c r="E22" i="9"/>
  <c r="D22" i="9"/>
  <c r="F21" i="9"/>
  <c r="F20" i="9"/>
  <c r="F19" i="9"/>
  <c r="F18" i="9"/>
  <c r="F17" i="9"/>
  <c r="F16" i="9"/>
  <c r="F15" i="9"/>
  <c r="F14" i="9"/>
  <c r="F10" i="9"/>
  <c r="U9" i="9"/>
  <c r="E9" i="9"/>
  <c r="E11" i="9" s="1"/>
  <c r="D9" i="9"/>
  <c r="D11" i="9" s="1"/>
  <c r="D23" i="9" s="1"/>
  <c r="F8" i="9"/>
  <c r="G8" i="9" s="1"/>
  <c r="I8" i="9" s="1"/>
  <c r="F7" i="9"/>
  <c r="G7" i="9" s="1"/>
  <c r="I7" i="9" s="1"/>
  <c r="F6" i="9"/>
  <c r="G6" i="9" s="1"/>
  <c r="J6" i="9" s="1"/>
  <c r="M6" i="9" s="1"/>
  <c r="F5" i="9"/>
  <c r="G5" i="9" s="1"/>
  <c r="I5" i="9" s="1"/>
  <c r="G3" i="8"/>
  <c r="H3" i="8" s="1"/>
  <c r="F4" i="8"/>
  <c r="G13" i="8"/>
  <c r="G14" i="8" s="1"/>
  <c r="G15" i="8" s="1"/>
  <c r="G16" i="8" s="1"/>
  <c r="G17" i="8" s="1"/>
  <c r="F13" i="8"/>
  <c r="F14" i="8" s="1"/>
  <c r="F15" i="8" s="1"/>
  <c r="F16" i="8" s="1"/>
  <c r="F17" i="8" s="1"/>
  <c r="J5" i="9" l="1"/>
  <c r="F22" i="9"/>
  <c r="H19" i="15"/>
  <c r="H21" i="13"/>
  <c r="G23" i="14"/>
  <c r="H5" i="9"/>
  <c r="J9" i="12"/>
  <c r="J9" i="13"/>
  <c r="G23" i="13"/>
  <c r="H14" i="13"/>
  <c r="H23" i="13" s="1"/>
  <c r="F38" i="15"/>
  <c r="F39" i="15"/>
  <c r="G23" i="15"/>
  <c r="H23" i="15"/>
  <c r="J9" i="15"/>
  <c r="K9" i="15"/>
  <c r="K11" i="15" s="1"/>
  <c r="O5" i="15"/>
  <c r="O9" i="15" s="1"/>
  <c r="H29" i="15" s="1"/>
  <c r="L9" i="15"/>
  <c r="L11" i="15" s="1"/>
  <c r="F38" i="14"/>
  <c r="F39" i="14"/>
  <c r="I10" i="14"/>
  <c r="I11" i="14"/>
  <c r="J9" i="14"/>
  <c r="H21" i="14"/>
  <c r="H17" i="14"/>
  <c r="F37" i="14" s="1"/>
  <c r="F23" i="14"/>
  <c r="K9" i="14"/>
  <c r="O5" i="14"/>
  <c r="O9" i="14" s="1"/>
  <c r="H29" i="14" s="1"/>
  <c r="L9" i="14"/>
  <c r="H18" i="14"/>
  <c r="H23" i="14" s="1"/>
  <c r="F38" i="13"/>
  <c r="O5" i="13"/>
  <c r="O9" i="13" s="1"/>
  <c r="H29" i="13" s="1"/>
  <c r="L9" i="13"/>
  <c r="I11" i="13"/>
  <c r="I10" i="13"/>
  <c r="K9" i="13"/>
  <c r="G16" i="11"/>
  <c r="G19" i="11"/>
  <c r="G20" i="11"/>
  <c r="F15" i="11"/>
  <c r="H15" i="11" s="1"/>
  <c r="H20" i="12"/>
  <c r="H15" i="12"/>
  <c r="F36" i="12" s="1"/>
  <c r="H19" i="12"/>
  <c r="H18" i="12"/>
  <c r="G23" i="12"/>
  <c r="H17" i="12"/>
  <c r="F37" i="12" s="1"/>
  <c r="H16" i="12"/>
  <c r="F23" i="12"/>
  <c r="L9" i="12"/>
  <c r="O5" i="12"/>
  <c r="O9" i="12" s="1"/>
  <c r="H29" i="12" s="1"/>
  <c r="E24" i="11"/>
  <c r="E25" i="11" s="1"/>
  <c r="G17" i="11"/>
  <c r="G21" i="11"/>
  <c r="G14" i="11"/>
  <c r="G18" i="11"/>
  <c r="G22" i="11"/>
  <c r="H22" i="11" s="1"/>
  <c r="F14" i="11"/>
  <c r="K7" i="11"/>
  <c r="J7" i="11"/>
  <c r="L7" i="11"/>
  <c r="O7" i="11" s="1"/>
  <c r="L8" i="11"/>
  <c r="O8" i="11" s="1"/>
  <c r="K8" i="11"/>
  <c r="J8" i="11"/>
  <c r="I9" i="11"/>
  <c r="K5" i="11"/>
  <c r="L5" i="11"/>
  <c r="J5" i="11"/>
  <c r="D24" i="11"/>
  <c r="D25" i="11" s="1"/>
  <c r="K6" i="11"/>
  <c r="J6" i="11"/>
  <c r="L6" i="11"/>
  <c r="O6" i="11" s="1"/>
  <c r="H9" i="11"/>
  <c r="H11" i="11" s="1"/>
  <c r="F16" i="11"/>
  <c r="F17" i="11"/>
  <c r="F18" i="11"/>
  <c r="F19" i="11"/>
  <c r="F20" i="11"/>
  <c r="F21" i="11"/>
  <c r="E24" i="10"/>
  <c r="E25" i="10"/>
  <c r="G16" i="10"/>
  <c r="F16" i="10"/>
  <c r="G22" i="10"/>
  <c r="F20" i="10"/>
  <c r="F19" i="10"/>
  <c r="F15" i="10"/>
  <c r="F22" i="10"/>
  <c r="F18" i="10"/>
  <c r="F21" i="10"/>
  <c r="G21" i="10"/>
  <c r="G15" i="10"/>
  <c r="G18" i="10"/>
  <c r="G14" i="10"/>
  <c r="G17" i="10"/>
  <c r="K8" i="10"/>
  <c r="H9" i="10"/>
  <c r="H11" i="10" s="1"/>
  <c r="G19" i="10"/>
  <c r="K6" i="10"/>
  <c r="K5" i="10"/>
  <c r="K7" i="10"/>
  <c r="I9" i="10"/>
  <c r="L5" i="10"/>
  <c r="J6" i="10"/>
  <c r="L7" i="10"/>
  <c r="O7" i="10" s="1"/>
  <c r="J8" i="10"/>
  <c r="J7" i="9"/>
  <c r="M7" i="9" s="1"/>
  <c r="F9" i="9"/>
  <c r="F11" i="9" s="1"/>
  <c r="F23" i="9" s="1"/>
  <c r="F24" i="9" s="1"/>
  <c r="J8" i="9"/>
  <c r="M8" i="9" s="1"/>
  <c r="H6" i="9"/>
  <c r="I6" i="9"/>
  <c r="I9" i="9" s="1"/>
  <c r="H7" i="9"/>
  <c r="G9" i="9"/>
  <c r="M5" i="9"/>
  <c r="H8" i="9"/>
  <c r="H9" i="9" s="1"/>
  <c r="D24" i="9"/>
  <c r="E23" i="9"/>
  <c r="E24" i="9" s="1"/>
  <c r="I3" i="8"/>
  <c r="J8" i="8"/>
  <c r="F39" i="12" l="1"/>
  <c r="F38" i="12"/>
  <c r="M9" i="9"/>
  <c r="F28" i="9" s="1"/>
  <c r="K9" i="11"/>
  <c r="I22" i="15"/>
  <c r="I21" i="15"/>
  <c r="I20" i="15"/>
  <c r="I19" i="15"/>
  <c r="I18" i="15"/>
  <c r="I17" i="15"/>
  <c r="I16" i="15"/>
  <c r="I15" i="15"/>
  <c r="I14" i="15"/>
  <c r="H20" i="11"/>
  <c r="J10" i="14"/>
  <c r="K10" i="14"/>
  <c r="K11" i="14" s="1"/>
  <c r="L10" i="14"/>
  <c r="L11" i="14" s="1"/>
  <c r="L10" i="13"/>
  <c r="L11" i="13" s="1"/>
  <c r="K10" i="13"/>
  <c r="K11" i="13" s="1"/>
  <c r="J10" i="13"/>
  <c r="H16" i="11"/>
  <c r="H19" i="11"/>
  <c r="H17" i="11"/>
  <c r="G23" i="11"/>
  <c r="H18" i="11"/>
  <c r="H14" i="11"/>
  <c r="H23" i="12"/>
  <c r="K10" i="12"/>
  <c r="K11" i="12" s="1"/>
  <c r="J10" i="12"/>
  <c r="L11" i="12"/>
  <c r="I14" i="12" s="1"/>
  <c r="I11" i="12"/>
  <c r="H21" i="11"/>
  <c r="I11" i="11"/>
  <c r="J9" i="11"/>
  <c r="F23" i="11"/>
  <c r="O5" i="11"/>
  <c r="O9" i="11" s="1"/>
  <c r="H29" i="11" s="1"/>
  <c r="X29" i="11" s="1"/>
  <c r="L9" i="11"/>
  <c r="H22" i="10"/>
  <c r="G23" i="10"/>
  <c r="J9" i="10"/>
  <c r="K9" i="10"/>
  <c r="L9" i="10"/>
  <c r="O5" i="10"/>
  <c r="O9" i="10" s="1"/>
  <c r="H29" i="10" s="1"/>
  <c r="I10" i="10"/>
  <c r="J9" i="9"/>
  <c r="G21" i="9"/>
  <c r="G20" i="9"/>
  <c r="G19" i="9"/>
  <c r="G18" i="9"/>
  <c r="G17" i="9"/>
  <c r="G16" i="9"/>
  <c r="G14" i="9"/>
  <c r="G15" i="9"/>
  <c r="I15" i="9" s="1"/>
  <c r="J10" i="9"/>
  <c r="J11" i="9" s="1"/>
  <c r="G10" i="9"/>
  <c r="K14" i="15" l="1"/>
  <c r="I23" i="15"/>
  <c r="L14" i="15"/>
  <c r="L18" i="15"/>
  <c r="O18" i="15" s="1"/>
  <c r="J18" i="15"/>
  <c r="K18" i="15"/>
  <c r="K22" i="15"/>
  <c r="L22" i="15"/>
  <c r="L17" i="15"/>
  <c r="O17" i="15" s="1"/>
  <c r="J17" i="15"/>
  <c r="K17" i="15"/>
  <c r="L21" i="15"/>
  <c r="O21" i="15" s="1"/>
  <c r="J21" i="15"/>
  <c r="K21" i="15"/>
  <c r="L16" i="15"/>
  <c r="O16" i="15" s="1"/>
  <c r="J16" i="15"/>
  <c r="K16" i="15"/>
  <c r="L20" i="15"/>
  <c r="O20" i="15" s="1"/>
  <c r="J20" i="15"/>
  <c r="K20" i="15"/>
  <c r="L15" i="15"/>
  <c r="O15" i="15" s="1"/>
  <c r="K15" i="15"/>
  <c r="L19" i="15"/>
  <c r="O19" i="15" s="1"/>
  <c r="J19" i="15"/>
  <c r="K19" i="15"/>
  <c r="X17" i="11"/>
  <c r="X21" i="11"/>
  <c r="X16" i="11"/>
  <c r="X20" i="11"/>
  <c r="X15" i="11"/>
  <c r="X19" i="11"/>
  <c r="X18" i="11"/>
  <c r="X14" i="11"/>
  <c r="I15" i="14"/>
  <c r="I14" i="14"/>
  <c r="I22" i="14"/>
  <c r="I21" i="14"/>
  <c r="I20" i="14"/>
  <c r="I19" i="14"/>
  <c r="I18" i="14"/>
  <c r="I17" i="14"/>
  <c r="I16" i="14"/>
  <c r="I22" i="13"/>
  <c r="I21" i="13"/>
  <c r="I20" i="13"/>
  <c r="I19" i="13"/>
  <c r="I18" i="13"/>
  <c r="I17" i="13"/>
  <c r="I16" i="13"/>
  <c r="I15" i="13"/>
  <c r="I14" i="13"/>
  <c r="H23" i="11"/>
  <c r="I22" i="12"/>
  <c r="I21" i="12"/>
  <c r="I20" i="12"/>
  <c r="I19" i="12"/>
  <c r="I18" i="12"/>
  <c r="I17" i="12"/>
  <c r="I16" i="12"/>
  <c r="I15" i="12"/>
  <c r="L11" i="11"/>
  <c r="I14" i="11" s="1"/>
  <c r="K10" i="11"/>
  <c r="K11" i="11" s="1"/>
  <c r="J10" i="11"/>
  <c r="K10" i="10"/>
  <c r="K11" i="10" s="1"/>
  <c r="J10" i="10"/>
  <c r="L10" i="10"/>
  <c r="L11" i="10" s="1"/>
  <c r="I11" i="10"/>
  <c r="H17" i="9"/>
  <c r="I17" i="9"/>
  <c r="H21" i="9"/>
  <c r="I21" i="9"/>
  <c r="H10" i="9"/>
  <c r="I10" i="9"/>
  <c r="I11" i="9" s="1"/>
  <c r="J15" i="9"/>
  <c r="M15" i="9" s="1"/>
  <c r="H18" i="9"/>
  <c r="I18" i="9"/>
  <c r="G11" i="9"/>
  <c r="I14" i="9"/>
  <c r="G22" i="9"/>
  <c r="H19" i="9"/>
  <c r="I19" i="9"/>
  <c r="H16" i="9"/>
  <c r="I16" i="9"/>
  <c r="H20" i="9"/>
  <c r="I20" i="9"/>
  <c r="I22" i="10" l="1"/>
  <c r="I24" i="15"/>
  <c r="I25" i="15" s="1"/>
  <c r="O14" i="15"/>
  <c r="O23" i="15" s="1"/>
  <c r="H28" i="15" s="1"/>
  <c r="H31" i="15" s="1"/>
  <c r="L23" i="15"/>
  <c r="L25" i="15" s="1"/>
  <c r="K23" i="15"/>
  <c r="K25" i="15" s="1"/>
  <c r="J17" i="14"/>
  <c r="K17" i="14"/>
  <c r="L17" i="14"/>
  <c r="O17" i="14" s="1"/>
  <c r="J21" i="14"/>
  <c r="K21" i="14"/>
  <c r="L21" i="14"/>
  <c r="O21" i="14" s="1"/>
  <c r="J16" i="14"/>
  <c r="K16" i="14"/>
  <c r="L16" i="14"/>
  <c r="O16" i="14" s="1"/>
  <c r="J20" i="14"/>
  <c r="K20" i="14"/>
  <c r="L20" i="14"/>
  <c r="O20" i="14" s="1"/>
  <c r="K15" i="14"/>
  <c r="L15" i="14"/>
  <c r="O15" i="14" s="1"/>
  <c r="J19" i="14"/>
  <c r="K19" i="14"/>
  <c r="L19" i="14"/>
  <c r="O19" i="14" s="1"/>
  <c r="K14" i="14"/>
  <c r="I23" i="14"/>
  <c r="L14" i="14"/>
  <c r="J18" i="14"/>
  <c r="K18" i="14"/>
  <c r="L18" i="14"/>
  <c r="O18" i="14" s="1"/>
  <c r="K22" i="14"/>
  <c r="L22" i="14"/>
  <c r="K14" i="13"/>
  <c r="I23" i="13"/>
  <c r="L14" i="13"/>
  <c r="L18" i="13"/>
  <c r="O18" i="13" s="1"/>
  <c r="J18" i="13"/>
  <c r="K18" i="13"/>
  <c r="K22" i="13"/>
  <c r="L22" i="13"/>
  <c r="L17" i="13"/>
  <c r="O17" i="13" s="1"/>
  <c r="J17" i="13"/>
  <c r="K17" i="13"/>
  <c r="L21" i="13"/>
  <c r="O21" i="13" s="1"/>
  <c r="J21" i="13"/>
  <c r="K21" i="13"/>
  <c r="L16" i="13"/>
  <c r="O16" i="13" s="1"/>
  <c r="J16" i="13"/>
  <c r="K16" i="13"/>
  <c r="L20" i="13"/>
  <c r="O20" i="13" s="1"/>
  <c r="J20" i="13"/>
  <c r="K20" i="13"/>
  <c r="L15" i="13"/>
  <c r="O15" i="13" s="1"/>
  <c r="K15" i="13"/>
  <c r="L19" i="13"/>
  <c r="O19" i="13" s="1"/>
  <c r="J19" i="13"/>
  <c r="K19" i="13"/>
  <c r="L16" i="12"/>
  <c r="O16" i="12" s="1"/>
  <c r="K16" i="12"/>
  <c r="J16" i="12"/>
  <c r="L20" i="12"/>
  <c r="O20" i="12" s="1"/>
  <c r="K20" i="12"/>
  <c r="J20" i="12"/>
  <c r="L15" i="12"/>
  <c r="O15" i="12" s="1"/>
  <c r="K15" i="12"/>
  <c r="L19" i="12"/>
  <c r="O19" i="12" s="1"/>
  <c r="J19" i="12"/>
  <c r="K19" i="12"/>
  <c r="K14" i="12"/>
  <c r="I23" i="12"/>
  <c r="L14" i="12"/>
  <c r="L18" i="12"/>
  <c r="O18" i="12" s="1"/>
  <c r="J18" i="12"/>
  <c r="K18" i="12"/>
  <c r="K22" i="12"/>
  <c r="L22" i="12"/>
  <c r="L17" i="12"/>
  <c r="O17" i="12" s="1"/>
  <c r="K17" i="12"/>
  <c r="J17" i="12"/>
  <c r="L21" i="12"/>
  <c r="O21" i="12" s="1"/>
  <c r="J21" i="12"/>
  <c r="K21" i="12"/>
  <c r="I15" i="11"/>
  <c r="I22" i="11"/>
  <c r="I21" i="11"/>
  <c r="I20" i="11"/>
  <c r="I19" i="11"/>
  <c r="I18" i="11"/>
  <c r="I17" i="11"/>
  <c r="I16" i="11"/>
  <c r="H22" i="9"/>
  <c r="I22" i="9"/>
  <c r="I23" i="9" s="1"/>
  <c r="I24" i="9" s="1"/>
  <c r="J14" i="9"/>
  <c r="J21" i="9"/>
  <c r="M21" i="9" s="1"/>
  <c r="J20" i="9"/>
  <c r="M20" i="9" s="1"/>
  <c r="J19" i="9"/>
  <c r="M19" i="9" s="1"/>
  <c r="G23" i="9"/>
  <c r="G24" i="9" s="1"/>
  <c r="J18" i="9"/>
  <c r="M18" i="9" s="1"/>
  <c r="J17" i="9"/>
  <c r="M17" i="9" s="1"/>
  <c r="J16" i="9"/>
  <c r="M16" i="9" s="1"/>
  <c r="K22" i="10" l="1"/>
  <c r="L22" i="10"/>
  <c r="O14" i="14"/>
  <c r="O23" i="14" s="1"/>
  <c r="H28" i="14" s="1"/>
  <c r="H31" i="14" s="1"/>
  <c r="L23" i="14"/>
  <c r="L25" i="14" s="1"/>
  <c r="I24" i="14"/>
  <c r="I25" i="14" s="1"/>
  <c r="K23" i="14"/>
  <c r="K25" i="14" s="1"/>
  <c r="I24" i="13"/>
  <c r="I25" i="13" s="1"/>
  <c r="O14" i="13"/>
  <c r="O23" i="13" s="1"/>
  <c r="H28" i="13" s="1"/>
  <c r="H31" i="13" s="1"/>
  <c r="L23" i="13"/>
  <c r="L25" i="13" s="1"/>
  <c r="K23" i="13"/>
  <c r="K25" i="13" s="1"/>
  <c r="I24" i="12"/>
  <c r="I25" i="12" s="1"/>
  <c r="K23" i="12"/>
  <c r="K25" i="12" s="1"/>
  <c r="O14" i="12"/>
  <c r="O23" i="12" s="1"/>
  <c r="H28" i="12" s="1"/>
  <c r="H31" i="12" s="1"/>
  <c r="L23" i="12"/>
  <c r="L25" i="12" s="1"/>
  <c r="L18" i="11"/>
  <c r="O18" i="11" s="1"/>
  <c r="J18" i="11"/>
  <c r="K18" i="11"/>
  <c r="L22" i="11"/>
  <c r="K22" i="11"/>
  <c r="K14" i="11"/>
  <c r="I23" i="11"/>
  <c r="L14" i="11"/>
  <c r="L19" i="11"/>
  <c r="O19" i="11" s="1"/>
  <c r="J19" i="11"/>
  <c r="K19" i="11"/>
  <c r="L15" i="11"/>
  <c r="O15" i="11" s="1"/>
  <c r="K15" i="11"/>
  <c r="L16" i="11"/>
  <c r="O16" i="11" s="1"/>
  <c r="J16" i="11"/>
  <c r="K16" i="11"/>
  <c r="L20" i="11"/>
  <c r="O20" i="11" s="1"/>
  <c r="K20" i="11"/>
  <c r="J20" i="11"/>
  <c r="L17" i="11"/>
  <c r="O17" i="11" s="1"/>
  <c r="J17" i="11"/>
  <c r="K17" i="11"/>
  <c r="L21" i="11"/>
  <c r="O21" i="11" s="1"/>
  <c r="K21" i="11"/>
  <c r="J21" i="11"/>
  <c r="M14" i="9"/>
  <c r="M22" i="9" s="1"/>
  <c r="J22" i="9"/>
  <c r="L23" i="11" l="1"/>
  <c r="L25" i="11" s="1"/>
  <c r="O14" i="11"/>
  <c r="O23" i="11" s="1"/>
  <c r="H28" i="11" s="1"/>
  <c r="I24" i="11"/>
  <c r="I25" i="11" s="1"/>
  <c r="K23" i="11"/>
  <c r="K25" i="11" s="1"/>
  <c r="J23" i="9"/>
  <c r="J24" i="9" s="1"/>
  <c r="H31" i="11" l="1"/>
  <c r="X31" i="11" s="1"/>
  <c r="X28" i="11"/>
  <c r="G5" i="8"/>
  <c r="G6" i="8" s="1"/>
  <c r="G7" i="8" s="1"/>
  <c r="G8" i="8" s="1"/>
  <c r="G9" i="8" s="1"/>
  <c r="F5" i="8"/>
  <c r="F6" i="8" s="1"/>
  <c r="F7" i="8" s="1"/>
  <c r="F8" i="8" s="1"/>
  <c r="F9" i="8" s="1"/>
  <c r="E22" i="5" l="1"/>
  <c r="D22" i="5"/>
  <c r="F21" i="5"/>
  <c r="F20" i="5"/>
  <c r="F19" i="5"/>
  <c r="F18" i="5"/>
  <c r="F17" i="5"/>
  <c r="F16" i="5"/>
  <c r="F15" i="5"/>
  <c r="F14" i="5"/>
  <c r="F10" i="5"/>
  <c r="W9" i="5"/>
  <c r="E9" i="5"/>
  <c r="E11" i="5" s="1"/>
  <c r="D9" i="5"/>
  <c r="D11" i="5" s="1"/>
  <c r="F8" i="5"/>
  <c r="G8" i="5" s="1"/>
  <c r="I8" i="5" s="1"/>
  <c r="F7" i="5"/>
  <c r="F6" i="5"/>
  <c r="F5" i="5"/>
  <c r="G5" i="5" s="1"/>
  <c r="G5" i="6"/>
  <c r="J16" i="1"/>
  <c r="J17" i="1"/>
  <c r="J18" i="1"/>
  <c r="J19" i="1"/>
  <c r="J20" i="1"/>
  <c r="J21" i="1"/>
  <c r="J22" i="1"/>
  <c r="J23" i="1"/>
  <c r="J15" i="1"/>
  <c r="D23" i="5" l="1"/>
  <c r="D24" i="5" s="1"/>
  <c r="E23" i="5"/>
  <c r="E24" i="5" s="1"/>
  <c r="F9" i="5"/>
  <c r="F11" i="5" s="1"/>
  <c r="I5" i="5"/>
  <c r="J6" i="5" s="1"/>
  <c r="H5" i="5"/>
  <c r="L5" i="5"/>
  <c r="O5" i="5" s="1"/>
  <c r="F22" i="5"/>
  <c r="G7" i="5"/>
  <c r="H8" i="5"/>
  <c r="G6" i="5"/>
  <c r="L8" i="5"/>
  <c r="O8" i="5" s="1"/>
  <c r="U9" i="6"/>
  <c r="F15" i="6"/>
  <c r="F16" i="6"/>
  <c r="F17" i="6"/>
  <c r="F18" i="6"/>
  <c r="F19" i="6"/>
  <c r="F20" i="6"/>
  <c r="F21" i="6"/>
  <c r="F14" i="6"/>
  <c r="E22" i="6"/>
  <c r="D22" i="6"/>
  <c r="F10" i="6"/>
  <c r="E9" i="6"/>
  <c r="E11" i="6" s="1"/>
  <c r="D9" i="6"/>
  <c r="D11" i="6" s="1"/>
  <c r="F8" i="6"/>
  <c r="F7" i="6"/>
  <c r="F6" i="6"/>
  <c r="F5" i="6"/>
  <c r="F9" i="2"/>
  <c r="E5" i="2"/>
  <c r="G5" i="2" s="1"/>
  <c r="J5" i="2" s="1"/>
  <c r="I6" i="4"/>
  <c r="D9" i="2"/>
  <c r="C9" i="2"/>
  <c r="H9" i="4"/>
  <c r="H8" i="4"/>
  <c r="F23" i="5" l="1"/>
  <c r="F24" i="5" s="1"/>
  <c r="G9" i="5"/>
  <c r="J7" i="5"/>
  <c r="K7" i="5" s="1"/>
  <c r="I7" i="5"/>
  <c r="L7" i="5"/>
  <c r="O7" i="5" s="1"/>
  <c r="H7" i="5"/>
  <c r="I6" i="5"/>
  <c r="H6" i="5"/>
  <c r="L6" i="5"/>
  <c r="J5" i="5"/>
  <c r="K5" i="5" s="1"/>
  <c r="J8" i="5"/>
  <c r="K8" i="5" s="1"/>
  <c r="K6" i="5"/>
  <c r="D23" i="6"/>
  <c r="E23" i="6"/>
  <c r="F22" i="6"/>
  <c r="F24" i="6" s="1"/>
  <c r="H25" i="6" s="1"/>
  <c r="F9" i="6"/>
  <c r="F11" i="6" s="1"/>
  <c r="H9" i="5" l="1"/>
  <c r="I9" i="5"/>
  <c r="G20" i="5" s="1"/>
  <c r="G10" i="5"/>
  <c r="G11" i="5" s="1"/>
  <c r="K9" i="5"/>
  <c r="G21" i="5"/>
  <c r="J9" i="5"/>
  <c r="J10" i="5" s="1"/>
  <c r="O6" i="5"/>
  <c r="O9" i="5" s="1"/>
  <c r="F28" i="5" s="1"/>
  <c r="L9" i="5"/>
  <c r="E6" i="2"/>
  <c r="E7" i="2"/>
  <c r="G7" i="2" s="1"/>
  <c r="J7" i="2" s="1"/>
  <c r="E8" i="2"/>
  <c r="G8" i="2" s="1"/>
  <c r="J8" i="2" s="1"/>
  <c r="C34" i="1"/>
  <c r="I24" i="1"/>
  <c r="D24" i="1"/>
  <c r="E24" i="1"/>
  <c r="F25" i="1" s="1"/>
  <c r="F24" i="1"/>
  <c r="J24" i="1" s="1"/>
  <c r="C24" i="1"/>
  <c r="G16" i="5" l="1"/>
  <c r="G6" i="2"/>
  <c r="E9" i="2"/>
  <c r="G17" i="5"/>
  <c r="G19" i="5"/>
  <c r="H19" i="5" s="1"/>
  <c r="H10" i="5"/>
  <c r="G18" i="5"/>
  <c r="I18" i="5" s="1"/>
  <c r="G15" i="5"/>
  <c r="I15" i="5" s="1"/>
  <c r="G14" i="5"/>
  <c r="I10" i="5"/>
  <c r="H21" i="5"/>
  <c r="I21" i="5"/>
  <c r="H16" i="5"/>
  <c r="I16" i="5"/>
  <c r="H17" i="5"/>
  <c r="I17" i="5"/>
  <c r="I19" i="5"/>
  <c r="H18" i="5"/>
  <c r="I14" i="5"/>
  <c r="H20" i="5"/>
  <c r="I20" i="5"/>
  <c r="L10" i="5"/>
  <c r="J6" i="2" l="1"/>
  <c r="J9" i="2" s="1"/>
  <c r="G9" i="2"/>
  <c r="G22" i="5"/>
  <c r="I11" i="5"/>
  <c r="H22" i="5"/>
  <c r="L11" i="5"/>
  <c r="H23" i="5" l="1"/>
  <c r="H24" i="5" s="1"/>
  <c r="G23" i="5"/>
  <c r="G24" i="5" s="1"/>
  <c r="L21" i="5"/>
  <c r="O21" i="5" s="1"/>
  <c r="J21" i="5"/>
  <c r="K21" i="5" s="1"/>
  <c r="J20" i="5"/>
  <c r="K20" i="5" s="1"/>
  <c r="L20" i="5"/>
  <c r="O20" i="5" s="1"/>
  <c r="J15" i="5"/>
  <c r="L15" i="5"/>
  <c r="O15" i="5" s="1"/>
  <c r="I22" i="5"/>
  <c r="L14" i="5"/>
  <c r="J14" i="5"/>
  <c r="J17" i="5"/>
  <c r="K17" i="5" s="1"/>
  <c r="L17" i="5"/>
  <c r="O17" i="5" s="1"/>
  <c r="L16" i="5"/>
  <c r="O16" i="5" s="1"/>
  <c r="J16" i="5"/>
  <c r="K16" i="5" s="1"/>
  <c r="L19" i="5"/>
  <c r="O19" i="5" s="1"/>
  <c r="J19" i="5"/>
  <c r="K19" i="5" s="1"/>
  <c r="L18" i="5"/>
  <c r="O18" i="5" s="1"/>
  <c r="J18" i="5"/>
  <c r="K18" i="5" s="1"/>
  <c r="I23" i="5" l="1"/>
  <c r="I24" i="5"/>
  <c r="K22" i="5"/>
  <c r="J22" i="5"/>
  <c r="L22" i="5"/>
  <c r="O14" i="5"/>
  <c r="O22" i="5" s="1"/>
  <c r="H6" i="6"/>
  <c r="J6" i="6" s="1"/>
  <c r="M6" i="6" s="1"/>
  <c r="G9" i="6"/>
  <c r="H8" i="6"/>
  <c r="I8" i="6" s="1"/>
  <c r="H7" i="6"/>
  <c r="J7" i="6" s="1"/>
  <c r="M7" i="6" s="1"/>
  <c r="H5" i="6"/>
  <c r="I5" i="6" s="1"/>
  <c r="J8" i="6" l="1"/>
  <c r="M8" i="6" s="1"/>
  <c r="I7" i="6"/>
  <c r="G10" i="6"/>
  <c r="G11" i="6" s="1"/>
  <c r="K23" i="5"/>
  <c r="K24" i="5" s="1"/>
  <c r="L23" i="5"/>
  <c r="L24" i="5" s="1"/>
  <c r="J23" i="5"/>
  <c r="J24" i="5" s="1"/>
  <c r="I6" i="6"/>
  <c r="H9" i="6"/>
  <c r="H10" i="6" s="1"/>
  <c r="J5" i="6"/>
  <c r="I9" i="6" l="1"/>
  <c r="J9" i="6"/>
  <c r="M5" i="6"/>
  <c r="M9" i="6" s="1"/>
  <c r="F30" i="6" s="1"/>
  <c r="J10" i="6" l="1"/>
  <c r="J11" i="6" l="1"/>
  <c r="G18" i="6" l="1"/>
  <c r="G21" i="6"/>
  <c r="G16" i="6"/>
  <c r="G14" i="6"/>
  <c r="G19" i="6"/>
  <c r="G15" i="6"/>
  <c r="G20" i="6"/>
  <c r="G17" i="6"/>
  <c r="H20" i="6" l="1"/>
  <c r="I20" i="6" s="1"/>
  <c r="J20" i="6"/>
  <c r="M20" i="6" s="1"/>
  <c r="H16" i="6"/>
  <c r="I16" i="6" s="1"/>
  <c r="J16" i="6"/>
  <c r="M16" i="6" s="1"/>
  <c r="J15" i="6"/>
  <c r="M15" i="6" s="1"/>
  <c r="H15" i="6"/>
  <c r="H21" i="6"/>
  <c r="I21" i="6" s="1"/>
  <c r="J21" i="6"/>
  <c r="M21" i="6" s="1"/>
  <c r="H19" i="6"/>
  <c r="I19" i="6" s="1"/>
  <c r="J19" i="6"/>
  <c r="M19" i="6" s="1"/>
  <c r="H18" i="6"/>
  <c r="I18" i="6" s="1"/>
  <c r="J18" i="6"/>
  <c r="M18" i="6" s="1"/>
  <c r="J17" i="6"/>
  <c r="M17" i="6" s="1"/>
  <c r="H17" i="6"/>
  <c r="I17" i="6" s="1"/>
  <c r="J14" i="6"/>
  <c r="G22" i="6"/>
  <c r="H14" i="6"/>
  <c r="I22" i="6" l="1"/>
  <c r="H22" i="6"/>
  <c r="H24" i="6" s="1"/>
  <c r="J22" i="6"/>
  <c r="M14" i="6"/>
  <c r="M22" i="6" s="1"/>
  <c r="H19" i="10"/>
  <c r="H15" i="10"/>
  <c r="I15" i="10" s="1"/>
  <c r="H18" i="10"/>
  <c r="H21" i="10"/>
  <c r="H20" i="10"/>
  <c r="I20" i="10" s="1"/>
  <c r="H17" i="10"/>
  <c r="I17" i="10" s="1"/>
  <c r="F14" i="10"/>
  <c r="F23" i="10" s="1"/>
  <c r="D24" i="10"/>
  <c r="D25" i="10" s="1"/>
  <c r="H16" i="10"/>
  <c r="I16" i="10" s="1"/>
  <c r="I21" i="10" l="1"/>
  <c r="L21" i="10" s="1"/>
  <c r="I18" i="10"/>
  <c r="L18" i="10" s="1"/>
  <c r="I19" i="10"/>
  <c r="L19" i="10" s="1"/>
  <c r="J21" i="10"/>
  <c r="J18" i="10"/>
  <c r="H14" i="10"/>
  <c r="K19" i="10" l="1"/>
  <c r="K18" i="10"/>
  <c r="O18" i="10" s="1"/>
  <c r="K21" i="10"/>
  <c r="O19" i="10"/>
  <c r="H23" i="10"/>
  <c r="I14" i="10"/>
  <c r="J19" i="10"/>
  <c r="K15" i="10"/>
  <c r="L15" i="10"/>
  <c r="K17" i="10"/>
  <c r="L17" i="10"/>
  <c r="K20" i="10"/>
  <c r="L20" i="10"/>
  <c r="K16" i="10"/>
  <c r="L16" i="10"/>
  <c r="J16" i="10"/>
  <c r="J17" i="10"/>
  <c r="J20" i="10"/>
  <c r="O21" i="10"/>
  <c r="I23" i="10" l="1"/>
  <c r="L14" i="10"/>
  <c r="L23" i="10" s="1"/>
  <c r="O20" i="10"/>
  <c r="O15" i="10"/>
  <c r="O16" i="10"/>
  <c r="O17" i="10"/>
  <c r="K14" i="10"/>
  <c r="I24" i="10" l="1"/>
  <c r="I25" i="10" s="1"/>
  <c r="O14" i="10" l="1"/>
  <c r="O23" i="10" s="1"/>
  <c r="H28" i="10" s="1"/>
  <c r="H31" i="10" s="1"/>
  <c r="K23" i="10" l="1"/>
  <c r="K25" i="10" s="1"/>
  <c r="L25" i="10"/>
  <c r="E24" i="6"/>
  <c r="D24" i="6"/>
</calcChain>
</file>

<file path=xl/comments1.xml><?xml version="1.0" encoding="utf-8"?>
<comments xmlns="http://schemas.openxmlformats.org/spreadsheetml/2006/main">
  <authors>
    <author>bimleshg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2.xml><?xml version="1.0" encoding="utf-8"?>
<comments xmlns="http://schemas.openxmlformats.org/spreadsheetml/2006/main">
  <authors>
    <author>bimleshg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3.xml><?xml version="1.0" encoding="utf-8"?>
<comments xmlns="http://schemas.openxmlformats.org/spreadsheetml/2006/main">
  <authors>
    <author>bimleshg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4.xml><?xml version="1.0" encoding="utf-8"?>
<comments xmlns="http://schemas.openxmlformats.org/spreadsheetml/2006/main">
  <authors>
    <author>bimleshg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5.xml><?xml version="1.0" encoding="utf-8"?>
<comments xmlns="http://schemas.openxmlformats.org/spreadsheetml/2006/main">
  <authors>
    <author>bimleshg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6.xml><?xml version="1.0" encoding="utf-8"?>
<comments xmlns="http://schemas.openxmlformats.org/spreadsheetml/2006/main">
  <authors>
    <author>bimleshg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7.xml><?xml version="1.0" encoding="utf-8"?>
<comments xmlns="http://schemas.openxmlformats.org/spreadsheetml/2006/main">
  <authors>
    <author>bimleshg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comments8.xml><?xml version="1.0" encoding="utf-8"?>
<comments xmlns="http://schemas.openxmlformats.org/spreadsheetml/2006/main">
  <authors>
    <author>bimleshg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bimleshg:</t>
        </r>
        <r>
          <rPr>
            <sz val="9"/>
            <color indexed="81"/>
            <rFont val="Tahoma"/>
            <family val="2"/>
          </rPr>
          <t xml:space="preserve">
Nm3/hr</t>
        </r>
      </text>
    </comment>
  </commentList>
</comments>
</file>

<file path=xl/sharedStrings.xml><?xml version="1.0" encoding="utf-8"?>
<sst xmlns="http://schemas.openxmlformats.org/spreadsheetml/2006/main" count="1286" uniqueCount="271">
  <si>
    <t>Feed Streams</t>
  </si>
  <si>
    <t>Feed in % : SOR</t>
  </si>
  <si>
    <t>Feed in % : EOR</t>
  </si>
  <si>
    <t>Feed MT/Day</t>
  </si>
  <si>
    <t>Individual Quantity in MT/D</t>
  </si>
  <si>
    <t>Price in RS/MT (as per tender)</t>
  </si>
  <si>
    <t>Number of days of operations</t>
  </si>
  <si>
    <t>Cost of Individual feed for 3 years Rs.</t>
  </si>
  <si>
    <t>Total Feed rate in MT/D</t>
  </si>
  <si>
    <t>a</t>
  </si>
  <si>
    <t>b</t>
  </si>
  <si>
    <t>c</t>
  </si>
  <si>
    <t>d</t>
  </si>
  <si>
    <t>VGO Feed in MT/D</t>
  </si>
  <si>
    <t>HGO Feed  in MT/D</t>
  </si>
  <si>
    <t>Coker distillate in MT/D</t>
  </si>
  <si>
    <t>*** Chemical Hydrogen consump in wt%</t>
  </si>
  <si>
    <t>*** Not considered for NVA</t>
  </si>
  <si>
    <t>Total Feed (a+b+c+d)</t>
  </si>
  <si>
    <t>2/3SOR+1/3EOR</t>
  </si>
  <si>
    <t>Sub Total</t>
  </si>
  <si>
    <t>Product Streams</t>
  </si>
  <si>
    <t>EOR YEILDS</t>
  </si>
  <si>
    <t>SOR YEILDS</t>
  </si>
  <si>
    <t>Actual Yeilds for Cal</t>
  </si>
  <si>
    <t>Actual Quantity in MT/D</t>
  </si>
  <si>
    <t>Number of days of operations for 3 years</t>
  </si>
  <si>
    <t>Value of Individual PRODUCT 3 years in lacks</t>
  </si>
  <si>
    <t>e</t>
  </si>
  <si>
    <t>f</t>
  </si>
  <si>
    <t>g</t>
  </si>
  <si>
    <t>h</t>
  </si>
  <si>
    <t>i</t>
  </si>
  <si>
    <t>j</t>
  </si>
  <si>
    <t>k</t>
  </si>
  <si>
    <t>l</t>
  </si>
  <si>
    <t>o</t>
  </si>
  <si>
    <t>H2S</t>
  </si>
  <si>
    <t>Ammonia NH3</t>
  </si>
  <si>
    <t>Fuel Gas (C1+C2)</t>
  </si>
  <si>
    <t>LPG</t>
  </si>
  <si>
    <t>Light Naphtha</t>
  </si>
  <si>
    <t>Heavy Naphtha</t>
  </si>
  <si>
    <t>Kerosene</t>
  </si>
  <si>
    <t>HSD **</t>
  </si>
  <si>
    <t>UCO</t>
  </si>
  <si>
    <t>Total product (e+f+g+h+i+j+k+l+o)</t>
  </si>
  <si>
    <t>Materila Balance Closure</t>
  </si>
  <si>
    <t>Materila Balance Closure in %</t>
  </si>
  <si>
    <t>NVA CALCULATIONS</t>
  </si>
  <si>
    <t>Rs. Lakhs</t>
  </si>
  <si>
    <t>Less: Cost of individual feed for 3 years:</t>
  </si>
  <si>
    <t>Value of Individual PRODUCT 3 years:</t>
  </si>
  <si>
    <t>Less: Total Landed Cost of Catalyst Cost*</t>
  </si>
  <si>
    <t>Total Calculated NVA</t>
  </si>
  <si>
    <t>*</t>
  </si>
  <si>
    <t>Quantity*Price* Number of days</t>
  </si>
  <si>
    <t>* Catalyst landed Cost Calculated &amp; provide by Commercial</t>
  </si>
  <si>
    <t>** As 0.01 wt% additional product observed during SOR condition, so far materila balance same amount (0.01) deducted from HSD (SOR) guaranteed yeild</t>
  </si>
  <si>
    <t>NVA CALCULATION SPREDSHEET : ART (FULL CATALYST SUPPLY)</t>
  </si>
  <si>
    <t>SOR</t>
  </si>
  <si>
    <t>EOR</t>
  </si>
  <si>
    <t>Product Stream</t>
  </si>
  <si>
    <t>Offered Yield (Wt %)</t>
  </si>
  <si>
    <t>Normalized Yield (Wt %)</t>
  </si>
  <si>
    <t>NH3+H2S</t>
  </si>
  <si>
    <t>Sp. H2 Consumption</t>
  </si>
  <si>
    <t>X</t>
  </si>
  <si>
    <t>Y</t>
  </si>
  <si>
    <t>C1+C2</t>
  </si>
  <si>
    <t>C3+C4</t>
  </si>
  <si>
    <t>Light Naphtha           (C5-105°C)</t>
  </si>
  <si>
    <t>Heavy Naphtha            (105 - 135°C)</t>
  </si>
  <si>
    <t>Kerosene                   (135-270°C)</t>
  </si>
  <si>
    <t>HSD (270-370°C)</t>
  </si>
  <si>
    <t>UCO              (Unconverted Oil)</t>
  </si>
  <si>
    <t>Total</t>
  </si>
  <si>
    <t xml:space="preserve">                                       Total</t>
  </si>
  <si>
    <t>100+X</t>
  </si>
  <si>
    <t>100+Y</t>
  </si>
  <si>
    <t>Sp. H2 Consumption, (Nm3/hr)</t>
  </si>
  <si>
    <t>First Cycle Length, m3/kg</t>
  </si>
  <si>
    <t xml:space="preserve"> S.NO</t>
  </si>
  <si>
    <t>PRODUCTs</t>
  </si>
  <si>
    <t>PRICE Rs./MT</t>
  </si>
  <si>
    <t>Fuel Gas(C1+C2)</t>
  </si>
  <si>
    <t>LPG(C3+C4)</t>
  </si>
  <si>
    <t>Naphtha (both LN &amp; HN)</t>
  </si>
  <si>
    <t>Kerosene /ATF</t>
  </si>
  <si>
    <t>HSD</t>
  </si>
  <si>
    <t>S.NO</t>
  </si>
  <si>
    <t>FEED</t>
  </si>
  <si>
    <t>PRICE RS / MT</t>
  </si>
  <si>
    <t>VGO</t>
  </si>
  <si>
    <t>CD</t>
  </si>
  <si>
    <t>LGO</t>
  </si>
  <si>
    <t>Table -2:  Feed Spec. CASE-I</t>
  </si>
  <si>
    <t>Parameters</t>
  </si>
  <si>
    <t>UOM</t>
  </si>
  <si>
    <t xml:space="preserve">LGO </t>
  </si>
  <si>
    <t>Foots Oil</t>
  </si>
  <si>
    <t xml:space="preserve">Coker Distillate     </t>
  </si>
  <si>
    <t>Combined  Feed                        (Wtd. Avg)</t>
  </si>
  <si>
    <t>ex- CDU</t>
  </si>
  <si>
    <t>ex-SDU</t>
  </si>
  <si>
    <t xml:space="preserve"> ex- VDU</t>
  </si>
  <si>
    <t xml:space="preserve"> ex- DCU</t>
  </si>
  <si>
    <t xml:space="preserve">Feed flow  </t>
  </si>
  <si>
    <r>
      <t>m</t>
    </r>
    <r>
      <rPr>
        <b/>
        <vertAlign val="superscript"/>
        <sz val="11"/>
        <color rgb="FF002060"/>
        <rFont val="Arial"/>
        <family val="2"/>
      </rPr>
      <t>3</t>
    </r>
    <r>
      <rPr>
        <b/>
        <sz val="11"/>
        <color rgb="FF002060"/>
        <rFont val="Arial"/>
        <family val="2"/>
      </rPr>
      <t>/Hr</t>
    </r>
  </si>
  <si>
    <t>T/hr</t>
  </si>
  <si>
    <t>Density@ 15 oC</t>
  </si>
  <si>
    <t>Kg/m3</t>
  </si>
  <si>
    <t>Feed composition</t>
  </si>
  <si>
    <t>Wt %</t>
  </si>
  <si>
    <t>Vol %</t>
  </si>
  <si>
    <t>Distillation</t>
  </si>
  <si>
    <t> D86</t>
  </si>
  <si>
    <t>D1160</t>
  </si>
  <si>
    <t> D 1160</t>
  </si>
  <si>
    <t>(Vol %)</t>
  </si>
  <si>
    <t>(Vol.%)</t>
  </si>
  <si>
    <t>IBP( vol %)</t>
  </si>
  <si>
    <r>
      <t>o</t>
    </r>
    <r>
      <rPr>
        <sz val="11"/>
        <color rgb="FF000000"/>
        <rFont val="Arial"/>
        <family val="2"/>
      </rPr>
      <t xml:space="preserve">C </t>
    </r>
  </si>
  <si>
    <r>
      <t>o</t>
    </r>
    <r>
      <rPr>
        <sz val="11"/>
        <color rgb="FF000000"/>
        <rFont val="Arial"/>
        <family val="2"/>
      </rPr>
      <t>C</t>
    </r>
  </si>
  <si>
    <t>FBP</t>
  </si>
  <si>
    <t>Sulfur</t>
  </si>
  <si>
    <t>Nitrogen</t>
  </si>
  <si>
    <t>ppm</t>
  </si>
  <si>
    <t>Asphaltenes</t>
  </si>
  <si>
    <t>Nickel</t>
  </si>
  <si>
    <t>&lt;1.5</t>
  </si>
  <si>
    <t>Vanadium</t>
  </si>
  <si>
    <t>Other Metals</t>
  </si>
  <si>
    <t>&lt;2</t>
  </si>
  <si>
    <r>
      <t>Table -3:  Feed Spec. Case-II</t>
    </r>
    <r>
      <rPr>
        <b/>
        <u/>
        <sz val="11"/>
        <color rgb="FFC00000"/>
        <rFont val="Arial"/>
        <family val="2"/>
      </rPr>
      <t>(CHECK CASE)</t>
    </r>
  </si>
  <si>
    <t>Combined Feed                 ( wtd Avg)</t>
  </si>
  <si>
    <r>
      <t>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/Hr</t>
    </r>
  </si>
  <si>
    <t>FO</t>
  </si>
  <si>
    <t>CGO</t>
  </si>
  <si>
    <t>T/day</t>
  </si>
  <si>
    <t>wt%</t>
  </si>
  <si>
    <t>LGO()T/hr(</t>
  </si>
  <si>
    <t>Total Feed/ day</t>
  </si>
  <si>
    <t xml:space="preserve">AVG </t>
  </si>
  <si>
    <t>2/3 SOR+1/3EOR</t>
  </si>
  <si>
    <t>Individual feed/day</t>
  </si>
  <si>
    <t>Rs/T</t>
  </si>
  <si>
    <t>price as per tender</t>
  </si>
  <si>
    <t>Nos of days  in Oprn( in 3 yrs)</t>
  </si>
  <si>
    <t xml:space="preserve">nos </t>
  </si>
  <si>
    <t>Cost of individual feed in 3yrs</t>
  </si>
  <si>
    <t>Rs( lakh)</t>
  </si>
  <si>
    <t>Price as per tender</t>
  </si>
  <si>
    <t>Light Naphtha (C5-105°C)</t>
  </si>
  <si>
    <t>Heavy Naphtha (105 - 135°C)</t>
  </si>
  <si>
    <t>UCO  (Unconverted Oil)</t>
  </si>
  <si>
    <t>Kerosene (135-270°C)</t>
  </si>
  <si>
    <t>Individual product /day</t>
  </si>
  <si>
    <t>Feed</t>
  </si>
  <si>
    <t>2/3 SOR+  1/3EOR</t>
  </si>
  <si>
    <t xml:space="preserve">  Feed   for  NVA caln</t>
  </si>
  <si>
    <t xml:space="preserve">  Yield  for  NVA caln</t>
  </si>
  <si>
    <t>Products</t>
  </si>
  <si>
    <t>Cost of individual product in 3yrs</t>
  </si>
  <si>
    <t>Total product (a+b+c+d+e+f+g+h)</t>
  </si>
  <si>
    <t xml:space="preserve">  Surplus as H2</t>
  </si>
  <si>
    <t>Individual feed /day</t>
  </si>
  <si>
    <t>Value of Individual PRODUCT 3 years(1000 days):</t>
  </si>
  <si>
    <t>A</t>
  </si>
  <si>
    <t>B</t>
  </si>
  <si>
    <t>less :Cost of individual feed for 3 years( 1000 days):</t>
  </si>
  <si>
    <t>Less: Total Landed Cost of Catalyst Cost:</t>
  </si>
  <si>
    <t>C</t>
  </si>
  <si>
    <t>A-B-C</t>
  </si>
  <si>
    <t>Total Calculated NVA:</t>
  </si>
  <si>
    <t>Total ( feed)</t>
  </si>
  <si>
    <t>M3/hr</t>
  </si>
  <si>
    <t>Density</t>
  </si>
  <si>
    <t>m3/hr</t>
  </si>
  <si>
    <t>Sp. H2 Consumption (Wt%)</t>
  </si>
  <si>
    <t xml:space="preserve">  Surplus as H2 ( in FG+ CLPS)</t>
  </si>
  <si>
    <t>19-20</t>
  </si>
  <si>
    <t>20-21</t>
  </si>
  <si>
    <t>21-22</t>
  </si>
  <si>
    <t>22-23</t>
  </si>
  <si>
    <t>18-19</t>
  </si>
  <si>
    <t>23-24</t>
  </si>
  <si>
    <t>17-18</t>
  </si>
  <si>
    <t>ii</t>
  </si>
  <si>
    <t>iii</t>
  </si>
  <si>
    <t>iv</t>
  </si>
  <si>
    <t>v</t>
  </si>
  <si>
    <t>vi</t>
  </si>
  <si>
    <t>vii</t>
  </si>
  <si>
    <t>viii</t>
  </si>
  <si>
    <t xml:space="preserve">Total product </t>
  </si>
  <si>
    <t>NVA CALCULATIONS( In Lakhs)</t>
  </si>
  <si>
    <t>I</t>
  </si>
  <si>
    <t>II</t>
  </si>
  <si>
    <t>III</t>
  </si>
  <si>
    <t>I-II-III</t>
  </si>
  <si>
    <t>iX</t>
  </si>
  <si>
    <t xml:space="preserve">SOR (Normalized) </t>
  </si>
  <si>
    <t xml:space="preserve">EOR (Normalized) </t>
  </si>
  <si>
    <t>Normalized  Yield  for  NVA caln</t>
  </si>
  <si>
    <t xml:space="preserve">  Surplus  H2 ( in FG+ CLPS)</t>
  </si>
  <si>
    <t>NVA CALCULATION SHEET</t>
  </si>
  <si>
    <t>Nos of days  in Oprn             ( in 3 yrs)</t>
  </si>
  <si>
    <t>Total  liquid HC</t>
  </si>
  <si>
    <t>Lakhs</t>
  </si>
  <si>
    <t>Total feed (a)</t>
  </si>
  <si>
    <t xml:space="preserve">Total product(b) </t>
  </si>
  <si>
    <t>Diff( a-b)</t>
  </si>
  <si>
    <t>Value of PRODUCTs in 3 years(1000 days)</t>
  </si>
  <si>
    <t>Less :Cost of feed for 3 years( 1000 days)</t>
  </si>
  <si>
    <t>Less: Total Landed Cost of Catalyst Cost</t>
  </si>
  <si>
    <t>Nos of days  in Oprn (in 3 yrs)</t>
  </si>
  <si>
    <t>Chemical H2 Consumption (Wt%)</t>
  </si>
  <si>
    <t>cr</t>
  </si>
  <si>
    <t>NVA  CALCULATION  SHEET</t>
  </si>
  <si>
    <t>SKO+HSD</t>
  </si>
  <si>
    <t>Desired Guarantee yield( normalised)</t>
  </si>
  <si>
    <t>Light Naphatha</t>
  </si>
  <si>
    <t>SKO</t>
  </si>
  <si>
    <t>max</t>
  </si>
  <si>
    <t>min</t>
  </si>
  <si>
    <t>Offerd</t>
  </si>
  <si>
    <t>ok</t>
  </si>
  <si>
    <t>Arrangement of sufficient numbers of road permits for mobilization of machine tools and tackles on returnable basis.</t>
  </si>
  <si>
    <t>Mobilization of mixer machine, needle vibrator, water chiller and other masonry tools &amp; tackles to execute the refractory job.</t>
  </si>
  <si>
    <t>Construction Power, Potable quality water (as required) within 10 m near to work site.</t>
  </si>
  <si>
    <t>Arrangement of insurance for store &amp; refractory materials and equipments.</t>
  </si>
  <si>
    <t>Bidder</t>
  </si>
  <si>
    <t>NRL</t>
  </si>
  <si>
    <t>Items</t>
  </si>
  <si>
    <t>Mobilization of Experienced Engineers, supervisors, skilled and unskilled workmen to carry out the entire job as per scope of  work.</t>
  </si>
  <si>
    <t>Forklift, Hydra &amp; Tractor  for shifting of refractory materials etc from ware house to site.</t>
  </si>
  <si>
    <t>External insulation, Coating / painting work, if any</t>
  </si>
  <si>
    <t>PF, ESI and Labour License for  staff &amp; workmen as required.</t>
  </si>
  <si>
    <t>Scope of Supply:</t>
  </si>
  <si>
    <t>Mounting plate and other part of burner asemly(216 nos)</t>
  </si>
  <si>
    <t>Back-up insulation for burner assembly( 216 nos)</t>
  </si>
  <si>
    <t>Sl. No.</t>
  </si>
  <si>
    <t>All type of  fire bricks for side walls,peep doors, excess doors, arch bricks around burners etc</t>
  </si>
  <si>
    <t>Scaffolding materials for scaffolding inside the chambers</t>
  </si>
  <si>
    <t>Muffle block(single piece) of burners( 216 Nos)</t>
  </si>
  <si>
    <t>Unloading and Storage of refractory materials under waterproof covered store.</t>
  </si>
  <si>
    <t>Space for Stores, Site office and workshop</t>
  </si>
  <si>
    <t>Air/train ticket and local transport  for all  crew members</t>
  </si>
  <si>
    <t xml:space="preserve"> Lodging &amp; Boarding  at site for all  crew members</t>
  </si>
  <si>
    <t>Scope of Work:</t>
  </si>
  <si>
    <t xml:space="preserve"> To  arrange gate passes for  all crew members</t>
  </si>
  <si>
    <t xml:space="preserve"> Shifting  of refractory material etc.from Main store to work place for day to day consumption. </t>
  </si>
  <si>
    <t>Erection &amp; removal of  scaffolding  as per std inside the two chambers of the tubular Reformer</t>
  </si>
  <si>
    <t>Provide  free access to the work front with  Safety Work Permits</t>
  </si>
  <si>
    <t>Application of all refractory materials  as per approved drawings</t>
  </si>
  <si>
    <t>Installation of burnerblock( single piece) and back-up insulation of Burner assembly etc.( 216 Nos)</t>
  </si>
  <si>
    <t>Safety accessories (PPE) for all work staff &amp; crew as required.</t>
  </si>
  <si>
    <t>SCOPE OF SUPPLY &amp; SCOPE OF WORK</t>
  </si>
  <si>
    <t xml:space="preserve">Arrangement of Crane, Hydra, Rollers, Forklift, Tractor, etc for handling of equipments &amp;  refractory materials during job </t>
  </si>
  <si>
    <t>ANNEXURE -VIII</t>
  </si>
  <si>
    <t>All type of   ceramic fibre- module/ cera-blanket/vaccum foamed peep door for side walls,peep doors, excess doors , arch bricks around burners etc</t>
  </si>
  <si>
    <t xml:space="preserve">Arrangement of Third Party Inspection agency during execution of job. </t>
  </si>
  <si>
    <t>Casing  plate, Angle, sleeve  etc. for repair of Tubular reformer casing.</t>
  </si>
  <si>
    <t>Back-up insulation for side walls (behid the firebricks), as per  design.</t>
  </si>
  <si>
    <t>All types of anchors, shelf plates required for execution of the job as per the Aproved Drawing</t>
  </si>
  <si>
    <t>All Mechanical &amp; Hot work like cutting/ welding of anchors ,shell casing plate,  shelf plates, etc.</t>
  </si>
  <si>
    <t>Utilities like plant air, N2, service water, LP steam,Power etc  near to the site</t>
  </si>
  <si>
    <t>Manual Cleaning of internal surfaces of casing plate with metal wire brush  prior to start Refractory lining work.</t>
  </si>
  <si>
    <t>Jumbo bag for storing and disposal of debries after dismentling</t>
  </si>
  <si>
    <t xml:space="preserve">10% of mandatory spares for C.F. Modules (along with anchors), C.F. blankets &amp; V.F. Peep doors and for anchors and shelf plate (for IFB).Prices for the same to be considered along with the quoted price of SOR line item 20.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</si>
</sst>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_);[Red]\(#,##0.000\)"/>
    <numFmt numFmtId="165" formatCode="0.0"/>
    <numFmt numFmtId="166" formatCode="#,##0.0_);[Red]\(#,##0.0\)"/>
    <numFmt numFmtId="167" formatCode="0.000"/>
    <numFmt numFmtId="168" formatCode="0.0%"/>
  </numFmts>
  <fonts count="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2060"/>
      <name val="Arial"/>
      <family val="2"/>
    </font>
    <font>
      <b/>
      <vertAlign val="superscript"/>
      <sz val="11"/>
      <color rgb="FF002060"/>
      <name val="Arial"/>
      <family val="2"/>
    </font>
    <font>
      <b/>
      <sz val="12"/>
      <color rgb="FFC00000"/>
      <name val="Arial"/>
      <family val="2"/>
    </font>
    <font>
      <b/>
      <sz val="11"/>
      <color rgb="FF002060"/>
      <name val="Calibri"/>
      <family val="2"/>
      <scheme val="minor"/>
    </font>
    <font>
      <sz val="1"/>
      <color rgb="FF000000"/>
      <name val="Arial"/>
      <family val="2"/>
    </font>
    <font>
      <sz val="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8DB4E2"/>
      <name val="Arial"/>
      <family val="2"/>
    </font>
    <font>
      <vertAlign val="superscript"/>
      <sz val="11"/>
      <color rgb="FF000000"/>
      <name val="Arial"/>
      <family val="2"/>
    </font>
    <font>
      <sz val="11"/>
      <color rgb="FF00B0F0"/>
      <name val="Arial"/>
      <family val="2"/>
    </font>
    <font>
      <b/>
      <u/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FF0000"/>
      <name val="Arial"/>
      <family val="2"/>
    </font>
    <font>
      <b/>
      <sz val="12"/>
      <color rgb="FF0070C0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B0F0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2060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b/>
      <sz val="16"/>
      <color rgb="FF0070C0"/>
      <name val="Arial"/>
      <family val="2"/>
    </font>
    <font>
      <b/>
      <sz val="12"/>
      <color rgb="FF00B0F0"/>
      <name val="Arial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rgb="FF002060"/>
      <name val="Arial"/>
      <family val="2"/>
    </font>
    <font>
      <b/>
      <sz val="2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Arial"/>
      <family val="2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4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282828"/>
      </left>
      <right style="medium">
        <color rgb="FF282828"/>
      </right>
      <top style="medium">
        <color rgb="FF282828"/>
      </top>
      <bottom style="medium">
        <color rgb="FF282828"/>
      </bottom>
      <diagonal/>
    </border>
    <border>
      <left/>
      <right style="medium">
        <color rgb="FF282828"/>
      </right>
      <top style="medium">
        <color rgb="FF282828"/>
      </top>
      <bottom style="medium">
        <color rgb="FF282828"/>
      </bottom>
      <diagonal/>
    </border>
    <border>
      <left style="medium">
        <color rgb="FF282828"/>
      </left>
      <right style="medium">
        <color rgb="FF282828"/>
      </right>
      <top/>
      <bottom style="medium">
        <color rgb="FF282828"/>
      </bottom>
      <diagonal/>
    </border>
    <border>
      <left/>
      <right style="medium">
        <color rgb="FF282828"/>
      </right>
      <top/>
      <bottom style="medium">
        <color rgb="FF282828"/>
      </bottom>
      <diagonal/>
    </border>
    <border>
      <left style="medium">
        <color rgb="FF282828"/>
      </left>
      <right style="medium">
        <color rgb="FF282828"/>
      </right>
      <top style="medium">
        <color rgb="FF28282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164" fontId="2" fillId="0" borderId="1" xfId="0" applyNumberFormat="1" applyFont="1" applyBorder="1"/>
    <xf numFmtId="40" fontId="2" fillId="0" borderId="1" xfId="0" applyNumberFormat="1" applyFont="1" applyBorder="1"/>
    <xf numFmtId="40" fontId="2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0" xfId="0" applyNumberFormat="1" applyFont="1" applyBorder="1"/>
    <xf numFmtId="40" fontId="2" fillId="0" borderId="0" xfId="0" applyNumberFormat="1" applyFont="1" applyBorder="1"/>
    <xf numFmtId="40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 indent="2"/>
    </xf>
    <xf numFmtId="0" fontId="4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22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165" fontId="23" fillId="0" borderId="34" xfId="0" applyNumberFormat="1" applyFont="1" applyBorder="1" applyAlignment="1">
      <alignment horizontal="center" vertical="center" wrapText="1"/>
    </xf>
    <xf numFmtId="0" fontId="0" fillId="0" borderId="33" xfId="0" applyBorder="1"/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right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25" fillId="0" borderId="30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49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7" fillId="0" borderId="41" xfId="0" applyFont="1" applyBorder="1" applyAlignment="1">
      <alignment horizontal="right" vertical="center" wrapText="1"/>
    </xf>
    <xf numFmtId="0" fontId="27" fillId="0" borderId="42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vertical="center" wrapText="1"/>
    </xf>
    <xf numFmtId="165" fontId="23" fillId="0" borderId="28" xfId="0" applyNumberFormat="1" applyFont="1" applyBorder="1" applyAlignment="1">
      <alignment vertical="center" wrapText="1"/>
    </xf>
    <xf numFmtId="165" fontId="27" fillId="0" borderId="42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2" fontId="6" fillId="0" borderId="27" xfId="0" applyNumberFormat="1" applyFont="1" applyBorder="1" applyAlignment="1">
      <alignment horizontal="right" vertical="center" wrapText="1"/>
    </xf>
    <xf numFmtId="0" fontId="0" fillId="0" borderId="36" xfId="0" applyBorder="1" applyAlignment="1">
      <alignment horizontal="center" vertical="center"/>
    </xf>
    <xf numFmtId="2" fontId="6" fillId="0" borderId="51" xfId="0" applyNumberFormat="1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165" fontId="6" fillId="0" borderId="52" xfId="0" applyNumberFormat="1" applyFont="1" applyBorder="1" applyAlignment="1">
      <alignment horizontal="right" vertical="center" wrapText="1"/>
    </xf>
    <xf numFmtId="0" fontId="6" fillId="0" borderId="35" xfId="0" applyFont="1" applyBorder="1" applyAlignment="1">
      <alignment vertical="center" wrapText="1"/>
    </xf>
    <xf numFmtId="2" fontId="6" fillId="0" borderId="36" xfId="0" applyNumberFormat="1" applyFont="1" applyBorder="1" applyAlignment="1">
      <alignment horizontal="right" vertical="center" wrapText="1"/>
    </xf>
    <xf numFmtId="2" fontId="6" fillId="0" borderId="36" xfId="0" applyNumberFormat="1" applyFont="1" applyBorder="1" applyAlignment="1">
      <alignment vertical="center" wrapText="1"/>
    </xf>
    <xf numFmtId="2" fontId="6" fillId="0" borderId="53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165" fontId="6" fillId="0" borderId="4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29" fillId="0" borderId="27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right" vertical="center" wrapText="1"/>
    </xf>
    <xf numFmtId="2" fontId="23" fillId="3" borderId="29" xfId="0" applyNumberFormat="1" applyFont="1" applyFill="1" applyBorder="1" applyAlignment="1">
      <alignment horizontal="center" vertical="center" wrapText="1"/>
    </xf>
    <xf numFmtId="1" fontId="23" fillId="3" borderId="29" xfId="0" applyNumberFormat="1" applyFont="1" applyFill="1" applyBorder="1" applyAlignment="1">
      <alignment horizontal="center" vertical="center" wrapText="1"/>
    </xf>
    <xf numFmtId="0" fontId="6" fillId="0" borderId="55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right" vertical="center" wrapText="1"/>
    </xf>
    <xf numFmtId="0" fontId="6" fillId="3" borderId="58" xfId="0" applyFont="1" applyFill="1" applyBorder="1" applyAlignment="1">
      <alignment horizontal="center" vertical="center" wrapText="1"/>
    </xf>
    <xf numFmtId="1" fontId="6" fillId="3" borderId="58" xfId="0" applyNumberFormat="1" applyFont="1" applyFill="1" applyBorder="1" applyAlignment="1">
      <alignment horizontal="center" vertical="center" wrapText="1"/>
    </xf>
    <xf numFmtId="1" fontId="28" fillId="2" borderId="58" xfId="0" applyNumberFormat="1" applyFont="1" applyFill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59" xfId="0" applyFont="1" applyBorder="1" applyAlignment="1">
      <alignment vertical="center" wrapText="1"/>
    </xf>
    <xf numFmtId="0" fontId="2" fillId="0" borderId="2" xfId="0" applyFont="1" applyBorder="1"/>
    <xf numFmtId="0" fontId="3" fillId="0" borderId="30" xfId="0" applyFont="1" applyBorder="1"/>
    <xf numFmtId="0" fontId="30" fillId="0" borderId="2" xfId="0" applyFont="1" applyBorder="1" applyAlignment="1">
      <alignment horizontal="center"/>
    </xf>
    <xf numFmtId="40" fontId="30" fillId="0" borderId="2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right" vertical="center" wrapText="1"/>
    </xf>
    <xf numFmtId="0" fontId="6" fillId="0" borderId="64" xfId="0" applyFont="1" applyBorder="1" applyAlignment="1">
      <alignment horizontal="right" vertical="center" wrapText="1"/>
    </xf>
    <xf numFmtId="0" fontId="25" fillId="0" borderId="49" xfId="0" applyFont="1" applyBorder="1" applyAlignment="1">
      <alignment horizontal="center" vertical="center" wrapText="1"/>
    </xf>
    <xf numFmtId="0" fontId="6" fillId="0" borderId="5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3" fillId="0" borderId="27" xfId="0" applyFont="1" applyBorder="1"/>
    <xf numFmtId="0" fontId="3" fillId="0" borderId="62" xfId="0" applyFont="1" applyBorder="1"/>
    <xf numFmtId="0" fontId="0" fillId="0" borderId="4" xfId="0" applyBorder="1" applyAlignment="1">
      <alignment horizontal="center"/>
    </xf>
    <xf numFmtId="1" fontId="27" fillId="0" borderId="4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2" fontId="24" fillId="2" borderId="27" xfId="0" applyNumberFormat="1" applyFont="1" applyFill="1" applyBorder="1" applyAlignment="1">
      <alignment horizontal="right" vertical="center" wrapText="1"/>
    </xf>
    <xf numFmtId="2" fontId="24" fillId="2" borderId="1" xfId="0" applyNumberFormat="1" applyFont="1" applyFill="1" applyBorder="1" applyAlignment="1">
      <alignment horizontal="right" vertical="center" wrapText="1"/>
    </xf>
    <xf numFmtId="2" fontId="26" fillId="2" borderId="1" xfId="0" applyNumberFormat="1" applyFont="1" applyFill="1" applyBorder="1" applyAlignment="1">
      <alignment horizontal="right"/>
    </xf>
    <xf numFmtId="2" fontId="26" fillId="2" borderId="36" xfId="0" applyNumberFormat="1" applyFont="1" applyFill="1" applyBorder="1" applyAlignment="1">
      <alignment horizontal="right"/>
    </xf>
    <xf numFmtId="0" fontId="0" fillId="4" borderId="0" xfId="0" applyFill="1"/>
    <xf numFmtId="40" fontId="3" fillId="4" borderId="27" xfId="0" applyNumberFormat="1" applyFont="1" applyFill="1" applyBorder="1"/>
    <xf numFmtId="164" fontId="3" fillId="4" borderId="27" xfId="0" applyNumberFormat="1" applyFont="1" applyFill="1" applyBorder="1"/>
    <xf numFmtId="0" fontId="2" fillId="4" borderId="1" xfId="0" applyFont="1" applyFill="1" applyBorder="1"/>
    <xf numFmtId="40" fontId="2" fillId="4" borderId="1" xfId="0" applyNumberFormat="1" applyFont="1" applyFill="1" applyBorder="1"/>
    <xf numFmtId="0" fontId="2" fillId="4" borderId="28" xfId="0" applyFont="1" applyFill="1" applyBorder="1"/>
    <xf numFmtId="40" fontId="2" fillId="4" borderId="28" xfId="0" applyNumberFormat="1" applyFont="1" applyFill="1" applyBorder="1"/>
    <xf numFmtId="38" fontId="3" fillId="4" borderId="27" xfId="0" applyNumberFormat="1" applyFont="1" applyFill="1" applyBorder="1"/>
    <xf numFmtId="38" fontId="2" fillId="4" borderId="1" xfId="0" applyNumberFormat="1" applyFont="1" applyFill="1" applyBorder="1"/>
    <xf numFmtId="40" fontId="35" fillId="0" borderId="61" xfId="0" applyNumberFormat="1" applyFont="1" applyBorder="1" applyAlignment="1">
      <alignment horizontal="center"/>
    </xf>
    <xf numFmtId="0" fontId="36" fillId="0" borderId="62" xfId="0" applyFont="1" applyBorder="1" applyAlignment="1">
      <alignment horizontal="center" vertical="center" wrapText="1"/>
    </xf>
    <xf numFmtId="165" fontId="6" fillId="3" borderId="58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165" fontId="38" fillId="0" borderId="27" xfId="0" applyNumberFormat="1" applyFont="1" applyBorder="1" applyAlignment="1">
      <alignment horizontal="right" vertical="center" wrapText="1"/>
    </xf>
    <xf numFmtId="165" fontId="6" fillId="0" borderId="36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vertical="center"/>
    </xf>
    <xf numFmtId="2" fontId="24" fillId="2" borderId="29" xfId="0" applyNumberFormat="1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4" fillId="0" borderId="48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2" fontId="0" fillId="0" borderId="0" xfId="0" applyNumberFormat="1"/>
    <xf numFmtId="0" fontId="27" fillId="0" borderId="66" xfId="0" applyFont="1" applyBorder="1" applyAlignment="1">
      <alignment horizontal="right" vertical="center" wrapText="1"/>
    </xf>
    <xf numFmtId="0" fontId="27" fillId="0" borderId="67" xfId="0" applyFont="1" applyBorder="1" applyAlignment="1">
      <alignment horizontal="right" vertical="center" wrapText="1"/>
    </xf>
    <xf numFmtId="0" fontId="27" fillId="0" borderId="28" xfId="0" applyFont="1" applyBorder="1" applyAlignment="1">
      <alignment horizontal="center" vertical="center" wrapText="1"/>
    </xf>
    <xf numFmtId="1" fontId="27" fillId="0" borderId="28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right" vertical="center" wrapText="1"/>
    </xf>
    <xf numFmtId="0" fontId="28" fillId="3" borderId="39" xfId="0" applyFont="1" applyFill="1" applyBorder="1" applyAlignment="1">
      <alignment horizontal="center" vertical="center" wrapText="1"/>
    </xf>
    <xf numFmtId="165" fontId="28" fillId="3" borderId="39" xfId="0" applyNumberFormat="1" applyFont="1" applyFill="1" applyBorder="1" applyAlignment="1">
      <alignment horizontal="center" vertical="center" wrapText="1"/>
    </xf>
    <xf numFmtId="1" fontId="6" fillId="3" borderId="39" xfId="0" applyNumberFormat="1" applyFont="1" applyFill="1" applyBorder="1" applyAlignment="1">
      <alignment horizontal="center" vertical="center" wrapText="1"/>
    </xf>
    <xf numFmtId="1" fontId="41" fillId="0" borderId="39" xfId="0" applyNumberFormat="1" applyFont="1" applyFill="1" applyBorder="1" applyAlignment="1">
      <alignment horizontal="center" vertical="center" wrapText="1"/>
    </xf>
    <xf numFmtId="2" fontId="27" fillId="3" borderId="42" xfId="0" applyNumberFormat="1" applyFont="1" applyFill="1" applyBorder="1" applyAlignment="1">
      <alignment horizontal="center" vertical="center" wrapText="1"/>
    </xf>
    <xf numFmtId="2" fontId="29" fillId="3" borderId="68" xfId="0" applyNumberFormat="1" applyFont="1" applyFill="1" applyBorder="1" applyAlignment="1">
      <alignment horizontal="center" vertical="center" wrapText="1"/>
    </xf>
    <xf numFmtId="1" fontId="29" fillId="3" borderId="68" xfId="0" applyNumberFormat="1" applyFont="1" applyFill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 wrapText="1"/>
    </xf>
    <xf numFmtId="1" fontId="28" fillId="3" borderId="68" xfId="0" applyNumberFormat="1" applyFont="1" applyFill="1" applyBorder="1" applyAlignment="1">
      <alignment horizontal="right" vertical="center" wrapText="1"/>
    </xf>
    <xf numFmtId="1" fontId="28" fillId="3" borderId="39" xfId="0" applyNumberFormat="1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center" vertical="center"/>
    </xf>
    <xf numFmtId="0" fontId="2" fillId="0" borderId="1" xfId="0" applyFont="1" applyFill="1" applyBorder="1"/>
    <xf numFmtId="0" fontId="0" fillId="0" borderId="0" xfId="0" applyFill="1" applyAlignment="1">
      <alignment horizontal="center"/>
    </xf>
    <xf numFmtId="0" fontId="49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50" fillId="0" borderId="36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/>
    </xf>
    <xf numFmtId="0" fontId="2" fillId="0" borderId="27" xfId="0" applyFont="1" applyBorder="1"/>
    <xf numFmtId="0" fontId="1" fillId="0" borderId="36" xfId="0" applyFont="1" applyFill="1" applyBorder="1" applyAlignment="1">
      <alignment horizontal="center"/>
    </xf>
    <xf numFmtId="0" fontId="6" fillId="0" borderId="60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2" fontId="0" fillId="0" borderId="36" xfId="0" applyNumberFormat="1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167" fontId="38" fillId="0" borderId="36" xfId="0" applyNumberFormat="1" applyFont="1" applyFill="1" applyBorder="1" applyAlignment="1">
      <alignment horizontal="right" vertical="center" wrapText="1"/>
    </xf>
    <xf numFmtId="165" fontId="29" fillId="0" borderId="36" xfId="0" applyNumberFormat="1" applyFont="1" applyFill="1" applyBorder="1" applyAlignment="1">
      <alignment vertical="center" wrapText="1"/>
    </xf>
    <xf numFmtId="165" fontId="29" fillId="0" borderId="36" xfId="0" applyNumberFormat="1" applyFont="1" applyBorder="1" applyAlignment="1">
      <alignment vertical="center" wrapText="1"/>
    </xf>
    <xf numFmtId="165" fontId="38" fillId="0" borderId="36" xfId="0" applyNumberFormat="1" applyFont="1" applyBorder="1" applyAlignment="1">
      <alignment horizontal="right" vertical="center" wrapText="1"/>
    </xf>
    <xf numFmtId="0" fontId="2" fillId="0" borderId="49" xfId="0" applyFont="1" applyFill="1" applyBorder="1"/>
    <xf numFmtId="40" fontId="3" fillId="0" borderId="29" xfId="0" applyNumberFormat="1" applyFont="1" applyFill="1" applyBorder="1"/>
    <xf numFmtId="0" fontId="0" fillId="0" borderId="1" xfId="0" applyFill="1" applyBorder="1" applyAlignment="1">
      <alignment horizontal="center"/>
    </xf>
    <xf numFmtId="40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6" fillId="0" borderId="28" xfId="0" applyNumberFormat="1" applyFont="1" applyBorder="1" applyAlignment="1">
      <alignment vertical="center" wrapText="1"/>
    </xf>
    <xf numFmtId="165" fontId="29" fillId="0" borderId="28" xfId="0" applyNumberFormat="1" applyFont="1" applyBorder="1" applyAlignment="1">
      <alignment horizontal="right" vertical="center" wrapText="1"/>
    </xf>
    <xf numFmtId="1" fontId="51" fillId="0" borderId="28" xfId="0" applyNumberFormat="1" applyFont="1" applyFill="1" applyBorder="1" applyAlignment="1">
      <alignment vertical="center" wrapText="1"/>
    </xf>
    <xf numFmtId="0" fontId="51" fillId="0" borderId="42" xfId="0" applyFont="1" applyBorder="1" applyAlignment="1">
      <alignment horizontal="right" vertical="center" wrapText="1"/>
    </xf>
    <xf numFmtId="0" fontId="6" fillId="0" borderId="60" xfId="0" applyFont="1" applyFill="1" applyBorder="1" applyAlignment="1">
      <alignment horizontal="right" vertical="center" wrapText="1"/>
    </xf>
    <xf numFmtId="0" fontId="3" fillId="0" borderId="49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5" fontId="38" fillId="0" borderId="27" xfId="0" applyNumberFormat="1" applyFont="1" applyBorder="1" applyAlignment="1">
      <alignment vertical="center" wrapText="1"/>
    </xf>
    <xf numFmtId="2" fontId="0" fillId="0" borderId="36" xfId="0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167" fontId="51" fillId="0" borderId="36" xfId="0" applyNumberFormat="1" applyFont="1" applyFill="1" applyBorder="1" applyAlignment="1">
      <alignment horizontal="right" vertical="center" wrapText="1"/>
    </xf>
    <xf numFmtId="167" fontId="52" fillId="0" borderId="36" xfId="0" applyNumberFormat="1" applyFont="1" applyFill="1" applyBorder="1" applyAlignment="1">
      <alignment horizontal="right" vertical="center" wrapText="1"/>
    </xf>
    <xf numFmtId="165" fontId="53" fillId="0" borderId="36" xfId="0" applyNumberFormat="1" applyFont="1" applyFill="1" applyBorder="1" applyAlignment="1">
      <alignment vertical="center" wrapText="1"/>
    </xf>
    <xf numFmtId="167" fontId="52" fillId="0" borderId="39" xfId="0" applyNumberFormat="1" applyFont="1" applyFill="1" applyBorder="1" applyAlignment="1">
      <alignment horizontal="right" vertical="center" wrapText="1"/>
    </xf>
    <xf numFmtId="165" fontId="29" fillId="0" borderId="39" xfId="0" applyNumberFormat="1" applyFont="1" applyBorder="1" applyAlignment="1">
      <alignment vertical="center" wrapText="1"/>
    </xf>
    <xf numFmtId="165" fontId="38" fillId="0" borderId="39" xfId="0" applyNumberFormat="1" applyFont="1" applyBorder="1" applyAlignment="1">
      <alignment horizontal="right" vertical="center" wrapText="1"/>
    </xf>
    <xf numFmtId="2" fontId="28" fillId="3" borderId="39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72" xfId="0" applyBorder="1"/>
    <xf numFmtId="2" fontId="29" fillId="5" borderId="1" xfId="0" applyNumberFormat="1" applyFont="1" applyFill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40" fontId="23" fillId="0" borderId="29" xfId="0" applyNumberFormat="1" applyFont="1" applyFill="1" applyBorder="1"/>
    <xf numFmtId="0" fontId="7" fillId="0" borderId="0" xfId="0" applyFont="1"/>
    <xf numFmtId="0" fontId="28" fillId="0" borderId="2" xfId="0" applyFont="1" applyBorder="1" applyAlignment="1">
      <alignment horizontal="center"/>
    </xf>
    <xf numFmtId="40" fontId="28" fillId="0" borderId="2" xfId="0" applyNumberFormat="1" applyFont="1" applyBorder="1" applyAlignment="1">
      <alignment horizontal="center"/>
    </xf>
    <xf numFmtId="0" fontId="44" fillId="0" borderId="3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 wrapText="1"/>
    </xf>
    <xf numFmtId="0" fontId="44" fillId="0" borderId="33" xfId="0" applyFont="1" applyBorder="1" applyAlignment="1">
      <alignment vertical="center" wrapText="1"/>
    </xf>
    <xf numFmtId="1" fontId="44" fillId="0" borderId="28" xfId="0" applyNumberFormat="1" applyFont="1" applyBorder="1" applyAlignment="1">
      <alignment horizontal="center" vertical="center" wrapText="1"/>
    </xf>
    <xf numFmtId="165" fontId="36" fillId="0" borderId="1" xfId="0" applyNumberFormat="1" applyFont="1" applyBorder="1" applyAlignment="1">
      <alignment horizontal="center" vertical="center" wrapText="1"/>
    </xf>
    <xf numFmtId="0" fontId="44" fillId="0" borderId="33" xfId="0" applyFont="1" applyBorder="1"/>
    <xf numFmtId="0" fontId="44" fillId="0" borderId="4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29" fillId="0" borderId="66" xfId="0" applyFont="1" applyBorder="1" applyAlignment="1">
      <alignment horizontal="right" vertical="center" wrapText="1"/>
    </xf>
    <xf numFmtId="0" fontId="29" fillId="0" borderId="67" xfId="0" applyFont="1" applyBorder="1" applyAlignment="1">
      <alignment horizontal="right" vertical="center" wrapText="1"/>
    </xf>
    <xf numFmtId="0" fontId="29" fillId="0" borderId="28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right" vertical="center" wrapText="1"/>
    </xf>
    <xf numFmtId="1" fontId="29" fillId="3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44" fillId="0" borderId="34" xfId="0" applyFont="1" applyBorder="1" applyAlignment="1">
      <alignment vertical="center" wrapText="1"/>
    </xf>
    <xf numFmtId="0" fontId="25" fillId="0" borderId="39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2" fontId="38" fillId="3" borderId="27" xfId="0" applyNumberFormat="1" applyFont="1" applyFill="1" applyBorder="1" applyAlignment="1">
      <alignment horizontal="right" vertical="center" wrapText="1"/>
    </xf>
    <xf numFmtId="2" fontId="44" fillId="0" borderId="27" xfId="0" applyNumberFormat="1" applyFont="1" applyBorder="1" applyAlignment="1">
      <alignment horizontal="right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2" fontId="38" fillId="3" borderId="1" xfId="0" applyNumberFormat="1" applyFont="1" applyFill="1" applyBorder="1" applyAlignment="1">
      <alignment horizontal="right" vertical="center" wrapText="1"/>
    </xf>
    <xf numFmtId="2" fontId="44" fillId="0" borderId="1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/>
    </xf>
    <xf numFmtId="0" fontId="55" fillId="0" borderId="36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165" fontId="44" fillId="0" borderId="36" xfId="0" applyNumberFormat="1" applyFont="1" applyBorder="1" applyAlignment="1">
      <alignment horizontal="right" vertical="center" wrapText="1"/>
    </xf>
    <xf numFmtId="0" fontId="25" fillId="0" borderId="29" xfId="0" applyFont="1" applyBorder="1" applyAlignment="1">
      <alignment horizontal="right" vertical="center"/>
    </xf>
    <xf numFmtId="0" fontId="25" fillId="0" borderId="29" xfId="0" applyFont="1" applyFill="1" applyBorder="1" applyAlignment="1">
      <alignment horizontal="center" vertical="center" wrapText="1"/>
    </xf>
    <xf numFmtId="165" fontId="47" fillId="0" borderId="39" xfId="0" applyNumberFormat="1" applyFont="1" applyBorder="1" applyAlignment="1">
      <alignment vertical="center" wrapText="1"/>
    </xf>
    <xf numFmtId="165" fontId="28" fillId="0" borderId="39" xfId="0" applyNumberFormat="1" applyFont="1" applyBorder="1" applyAlignment="1">
      <alignment horizontal="right" vertical="center" wrapText="1"/>
    </xf>
    <xf numFmtId="0" fontId="44" fillId="0" borderId="1" xfId="0" applyFont="1" applyBorder="1" applyAlignment="1">
      <alignment horizontal="right" vertical="center" wrapText="1"/>
    </xf>
    <xf numFmtId="0" fontId="29" fillId="0" borderId="28" xfId="0" applyFont="1" applyBorder="1" applyAlignment="1">
      <alignment horizontal="right" vertical="center" wrapText="1"/>
    </xf>
    <xf numFmtId="2" fontId="29" fillId="3" borderId="1" xfId="0" applyNumberFormat="1" applyFont="1" applyFill="1" applyBorder="1" applyAlignment="1">
      <alignment horizontal="right" vertical="center" wrapText="1"/>
    </xf>
    <xf numFmtId="2" fontId="28" fillId="3" borderId="39" xfId="0" applyNumberFormat="1" applyFont="1" applyFill="1" applyBorder="1" applyAlignment="1">
      <alignment horizontal="right" vertical="center" wrapText="1"/>
    </xf>
    <xf numFmtId="2" fontId="29" fillId="5" borderId="36" xfId="0" applyNumberFormat="1" applyFont="1" applyFill="1" applyBorder="1" applyAlignment="1">
      <alignment horizontal="right"/>
    </xf>
    <xf numFmtId="2" fontId="29" fillId="5" borderId="36" xfId="0" applyNumberFormat="1" applyFont="1" applyFill="1" applyBorder="1" applyAlignment="1">
      <alignment horizontal="right" vertical="center" wrapText="1"/>
    </xf>
    <xf numFmtId="2" fontId="29" fillId="5" borderId="39" xfId="0" applyNumberFormat="1" applyFont="1" applyFill="1" applyBorder="1" applyAlignment="1">
      <alignment horizontal="right" vertical="center" wrapText="1"/>
    </xf>
    <xf numFmtId="165" fontId="29" fillId="5" borderId="39" xfId="0" applyNumberFormat="1" applyFont="1" applyFill="1" applyBorder="1" applyAlignment="1">
      <alignment vertical="center" wrapText="1"/>
    </xf>
    <xf numFmtId="165" fontId="36" fillId="0" borderId="34" xfId="0" applyNumberFormat="1" applyFont="1" applyBorder="1" applyAlignment="1">
      <alignment horizontal="right" vertical="center" wrapText="1"/>
    </xf>
    <xf numFmtId="0" fontId="38" fillId="0" borderId="69" xfId="0" applyFont="1" applyBorder="1" applyAlignment="1">
      <alignment horizontal="right" vertical="center" wrapText="1"/>
    </xf>
    <xf numFmtId="165" fontId="36" fillId="0" borderId="52" xfId="0" applyNumberFormat="1" applyFont="1" applyBorder="1" applyAlignment="1">
      <alignment horizontal="right" vertical="center" wrapText="1"/>
    </xf>
    <xf numFmtId="165" fontId="36" fillId="0" borderId="55" xfId="0" applyNumberFormat="1" applyFont="1" applyBorder="1" applyAlignment="1">
      <alignment horizontal="right" vertical="center" wrapText="1"/>
    </xf>
    <xf numFmtId="0" fontId="56" fillId="0" borderId="33" xfId="0" applyFont="1" applyBorder="1" applyAlignment="1">
      <alignment horizontal="right" vertical="center" wrapText="1"/>
    </xf>
    <xf numFmtId="0" fontId="57" fillId="0" borderId="38" xfId="0" applyFont="1" applyBorder="1" applyAlignment="1">
      <alignment horizontal="right" vertical="center" wrapText="1"/>
    </xf>
    <xf numFmtId="0" fontId="56" fillId="0" borderId="56" xfId="0" applyFont="1" applyBorder="1" applyAlignment="1">
      <alignment vertical="center" wrapText="1"/>
    </xf>
    <xf numFmtId="0" fontId="56" fillId="0" borderId="3" xfId="0" applyFont="1" applyBorder="1" applyAlignment="1">
      <alignment vertical="center" wrapText="1"/>
    </xf>
    <xf numFmtId="0" fontId="56" fillId="0" borderId="4" xfId="0" applyFont="1" applyBorder="1" applyAlignment="1">
      <alignment vertical="center" wrapText="1"/>
    </xf>
    <xf numFmtId="0" fontId="56" fillId="0" borderId="67" xfId="0" applyFont="1" applyBorder="1" applyAlignment="1">
      <alignment vertical="center" wrapText="1"/>
    </xf>
    <xf numFmtId="0" fontId="56" fillId="0" borderId="36" xfId="0" applyFont="1" applyFill="1" applyBorder="1" applyAlignment="1">
      <alignment horizontal="right" vertical="center" wrapText="1"/>
    </xf>
    <xf numFmtId="0" fontId="25" fillId="0" borderId="30" xfId="0" applyFont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right"/>
    </xf>
    <xf numFmtId="40" fontId="42" fillId="0" borderId="61" xfId="0" applyNumberFormat="1" applyFont="1" applyBorder="1" applyAlignment="1">
      <alignment horizontal="center"/>
    </xf>
    <xf numFmtId="0" fontId="2" fillId="0" borderId="29" xfId="0" applyFont="1" applyBorder="1"/>
    <xf numFmtId="0" fontId="6" fillId="0" borderId="28" xfId="0" applyFont="1" applyFill="1" applyBorder="1"/>
    <xf numFmtId="0" fontId="7" fillId="0" borderId="28" xfId="0" applyFont="1" applyFill="1" applyBorder="1" applyAlignment="1">
      <alignment horizontal="center"/>
    </xf>
    <xf numFmtId="40" fontId="23" fillId="0" borderId="28" xfId="0" applyNumberFormat="1" applyFont="1" applyFill="1" applyBorder="1"/>
    <xf numFmtId="166" fontId="23" fillId="0" borderId="28" xfId="0" applyNumberFormat="1" applyFont="1" applyFill="1" applyBorder="1"/>
    <xf numFmtId="0" fontId="7" fillId="0" borderId="28" xfId="0" applyFont="1" applyBorder="1"/>
    <xf numFmtId="0" fontId="2" fillId="0" borderId="30" xfId="0" applyFont="1" applyBorder="1"/>
    <xf numFmtId="0" fontId="2" fillId="0" borderId="33" xfId="0" applyFont="1" applyBorder="1"/>
    <xf numFmtId="0" fontId="2" fillId="0" borderId="35" xfId="0" applyFont="1" applyBorder="1"/>
    <xf numFmtId="2" fontId="46" fillId="2" borderId="27" xfId="0" applyNumberFormat="1" applyFont="1" applyFill="1" applyBorder="1" applyAlignment="1">
      <alignment horizontal="right" vertical="center" wrapText="1"/>
    </xf>
    <xf numFmtId="2" fontId="46" fillId="2" borderId="1" xfId="0" applyNumberFormat="1" applyFont="1" applyFill="1" applyBorder="1" applyAlignment="1">
      <alignment horizontal="right" vertical="center" wrapText="1"/>
    </xf>
    <xf numFmtId="2" fontId="46" fillId="2" borderId="1" xfId="0" applyNumberFormat="1" applyFont="1" applyFill="1" applyBorder="1" applyAlignment="1">
      <alignment horizontal="right"/>
    </xf>
    <xf numFmtId="2" fontId="28" fillId="3" borderId="39" xfId="0" applyNumberFormat="1" applyFont="1" applyFill="1" applyBorder="1" applyAlignment="1">
      <alignment vertical="center" wrapText="1"/>
    </xf>
    <xf numFmtId="165" fontId="28" fillId="3" borderId="39" xfId="0" applyNumberFormat="1" applyFont="1" applyFill="1" applyBorder="1" applyAlignment="1">
      <alignment vertical="center" wrapText="1"/>
    </xf>
    <xf numFmtId="0" fontId="44" fillId="0" borderId="37" xfId="0" applyFont="1" applyBorder="1" applyAlignment="1">
      <alignment horizontal="center" vertical="center" wrapText="1"/>
    </xf>
    <xf numFmtId="0" fontId="36" fillId="0" borderId="58" xfId="0" applyFont="1" applyFill="1" applyBorder="1" applyAlignment="1">
      <alignment horizontal="right" vertical="center" wrapText="1"/>
    </xf>
    <xf numFmtId="0" fontId="36" fillId="0" borderId="59" xfId="0" applyFont="1" applyBorder="1" applyAlignment="1">
      <alignment horizontal="center"/>
    </xf>
    <xf numFmtId="2" fontId="36" fillId="0" borderId="65" xfId="0" applyNumberFormat="1" applyFont="1" applyFill="1" applyBorder="1" applyAlignment="1">
      <alignment vertical="center"/>
    </xf>
    <xf numFmtId="2" fontId="36" fillId="0" borderId="39" xfId="0" applyNumberFormat="1" applyFont="1" applyFill="1" applyBorder="1" applyAlignment="1">
      <alignment vertical="center"/>
    </xf>
    <xf numFmtId="0" fontId="36" fillId="0" borderId="39" xfId="0" applyFont="1" applyFill="1" applyBorder="1" applyAlignment="1">
      <alignment vertical="center"/>
    </xf>
    <xf numFmtId="167" fontId="45" fillId="0" borderId="39" xfId="0" applyNumberFormat="1" applyFont="1" applyFill="1" applyBorder="1" applyAlignment="1">
      <alignment horizontal="right" vertical="center" wrapText="1"/>
    </xf>
    <xf numFmtId="165" fontId="28" fillId="3" borderId="39" xfId="0" applyNumberFormat="1" applyFont="1" applyFill="1" applyBorder="1" applyAlignment="1">
      <alignment horizontal="right" vertical="center" wrapText="1"/>
    </xf>
    <xf numFmtId="0" fontId="7" fillId="0" borderId="27" xfId="0" applyFont="1" applyBorder="1"/>
    <xf numFmtId="0" fontId="7" fillId="0" borderId="65" xfId="0" applyFont="1" applyBorder="1"/>
    <xf numFmtId="165" fontId="28" fillId="3" borderId="58" xfId="0" applyNumberFormat="1" applyFont="1" applyFill="1" applyBorder="1" applyAlignment="1">
      <alignment vertical="center" wrapText="1"/>
    </xf>
    <xf numFmtId="1" fontId="29" fillId="0" borderId="28" xfId="0" applyNumberFormat="1" applyFont="1" applyBorder="1" applyAlignment="1">
      <alignment horizontal="center" vertical="center" wrapText="1"/>
    </xf>
    <xf numFmtId="165" fontId="41" fillId="0" borderId="28" xfId="0" applyNumberFormat="1" applyFont="1" applyFill="1" applyBorder="1" applyAlignment="1">
      <alignment vertical="center" wrapText="1"/>
    </xf>
    <xf numFmtId="165" fontId="41" fillId="0" borderId="28" xfId="0" applyNumberFormat="1" applyFont="1" applyBorder="1" applyAlignment="1">
      <alignment horizontal="right" vertical="center" wrapText="1"/>
    </xf>
    <xf numFmtId="165" fontId="38" fillId="3" borderId="1" xfId="0" applyNumberFormat="1" applyFont="1" applyFill="1" applyBorder="1" applyAlignment="1">
      <alignment horizontal="right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2" fontId="44" fillId="0" borderId="27" xfId="0" applyNumberFormat="1" applyFont="1" applyBorder="1" applyAlignment="1">
      <alignment vertical="center" wrapText="1"/>
    </xf>
    <xf numFmtId="2" fontId="29" fillId="5" borderId="36" xfId="0" applyNumberFormat="1" applyFont="1" applyFill="1" applyBorder="1" applyAlignment="1">
      <alignment vertical="center" wrapText="1"/>
    </xf>
    <xf numFmtId="2" fontId="36" fillId="0" borderId="28" xfId="0" applyNumberFormat="1" applyFont="1" applyBorder="1" applyAlignment="1">
      <alignment vertical="center" wrapText="1"/>
    </xf>
    <xf numFmtId="2" fontId="29" fillId="0" borderId="28" xfId="0" applyNumberFormat="1" applyFont="1" applyBorder="1" applyAlignment="1">
      <alignment horizontal="right" vertical="center" wrapText="1"/>
    </xf>
    <xf numFmtId="2" fontId="28" fillId="0" borderId="39" xfId="0" applyNumberFormat="1" applyFont="1" applyFill="1" applyBorder="1" applyAlignment="1">
      <alignment horizontal="right" vertical="center" wrapText="1"/>
    </xf>
    <xf numFmtId="2" fontId="28" fillId="3" borderId="58" xfId="0" applyNumberFormat="1" applyFont="1" applyFill="1" applyBorder="1" applyAlignment="1">
      <alignment vertical="center" wrapText="1"/>
    </xf>
    <xf numFmtId="2" fontId="38" fillId="6" borderId="36" xfId="0" applyNumberFormat="1" applyFont="1" applyFill="1" applyBorder="1" applyAlignment="1">
      <alignment horizontal="right" vertical="center" wrapText="1"/>
    </xf>
    <xf numFmtId="0" fontId="30" fillId="0" borderId="0" xfId="0" applyFont="1"/>
    <xf numFmtId="0" fontId="60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46" fillId="0" borderId="66" xfId="0" applyFont="1" applyBorder="1" applyAlignment="1">
      <alignment horizontal="right" vertical="center" wrapText="1"/>
    </xf>
    <xf numFmtId="0" fontId="46" fillId="0" borderId="67" xfId="0" applyFont="1" applyBorder="1" applyAlignment="1">
      <alignment horizontal="right" vertical="center" wrapText="1"/>
    </xf>
    <xf numFmtId="0" fontId="46" fillId="0" borderId="28" xfId="0" applyFont="1" applyBorder="1" applyAlignment="1">
      <alignment horizontal="right" vertical="center" wrapText="1"/>
    </xf>
    <xf numFmtId="1" fontId="46" fillId="0" borderId="28" xfId="0" applyNumberFormat="1" applyFont="1" applyBorder="1" applyAlignment="1">
      <alignment horizontal="center" vertical="center" wrapText="1"/>
    </xf>
    <xf numFmtId="165" fontId="63" fillId="0" borderId="28" xfId="0" applyNumberFormat="1" applyFont="1" applyBorder="1" applyAlignment="1">
      <alignment horizontal="right" vertical="center" wrapText="1"/>
    </xf>
    <xf numFmtId="2" fontId="46" fillId="0" borderId="28" xfId="0" applyNumberFormat="1" applyFont="1" applyBorder="1" applyAlignment="1">
      <alignment horizontal="right" vertical="center" wrapText="1"/>
    </xf>
    <xf numFmtId="2" fontId="38" fillId="7" borderId="27" xfId="0" applyNumberFormat="1" applyFont="1" applyFill="1" applyBorder="1" applyAlignment="1">
      <alignment horizontal="right" vertical="center" wrapText="1"/>
    </xf>
    <xf numFmtId="2" fontId="64" fillId="2" borderId="75" xfId="0" applyNumberFormat="1" applyFont="1" applyFill="1" applyBorder="1"/>
    <xf numFmtId="0" fontId="0" fillId="0" borderId="0" xfId="0" applyFill="1"/>
    <xf numFmtId="2" fontId="64" fillId="0" borderId="0" xfId="0" applyNumberFormat="1" applyFont="1" applyFill="1"/>
    <xf numFmtId="0" fontId="65" fillId="0" borderId="0" xfId="0" applyFont="1"/>
    <xf numFmtId="0" fontId="62" fillId="0" borderId="0" xfId="0" applyFont="1" applyFill="1"/>
    <xf numFmtId="0" fontId="65" fillId="0" borderId="1" xfId="0" applyFont="1" applyBorder="1" applyAlignment="1">
      <alignment horizontal="right"/>
    </xf>
    <xf numFmtId="0" fontId="65" fillId="0" borderId="1" xfId="0" applyFont="1" applyBorder="1"/>
    <xf numFmtId="168" fontId="65" fillId="0" borderId="1" xfId="0" applyNumberFormat="1" applyFont="1" applyBorder="1"/>
    <xf numFmtId="0" fontId="66" fillId="0" borderId="1" xfId="0" applyFont="1" applyBorder="1" applyAlignment="1">
      <alignment horizontal="right"/>
    </xf>
    <xf numFmtId="0" fontId="66" fillId="0" borderId="1" xfId="0" applyFont="1" applyBorder="1"/>
    <xf numFmtId="168" fontId="66" fillId="0" borderId="1" xfId="0" applyNumberFormat="1" applyFont="1" applyBorder="1"/>
    <xf numFmtId="0" fontId="67" fillId="0" borderId="1" xfId="0" applyFont="1" applyBorder="1"/>
    <xf numFmtId="0" fontId="65" fillId="0" borderId="1" xfId="0" applyFont="1" applyBorder="1" applyAlignment="1">
      <alignment horizontal="center"/>
    </xf>
    <xf numFmtId="2" fontId="65" fillId="0" borderId="1" xfId="0" applyNumberFormat="1" applyFont="1" applyBorder="1"/>
    <xf numFmtId="0" fontId="66" fillId="0" borderId="1" xfId="0" applyFont="1" applyBorder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68" fillId="0" borderId="1" xfId="0" applyFont="1" applyBorder="1"/>
    <xf numFmtId="0" fontId="49" fillId="0" borderId="0" xfId="0" applyFont="1"/>
    <xf numFmtId="0" fontId="49" fillId="0" borderId="1" xfId="0" applyFont="1" applyBorder="1" applyAlignment="1">
      <alignment horizontal="center" wrapText="1"/>
    </xf>
    <xf numFmtId="0" fontId="49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left"/>
    </xf>
    <xf numFmtId="0" fontId="69" fillId="0" borderId="1" xfId="0" applyFont="1" applyBorder="1"/>
    <xf numFmtId="0" fontId="70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 wrapText="1"/>
    </xf>
    <xf numFmtId="0" fontId="0" fillId="0" borderId="51" xfId="0" applyFill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3" fillId="0" borderId="35" xfId="0" applyFont="1" applyBorder="1" applyAlignment="1">
      <alignment horizontal="right"/>
    </xf>
    <xf numFmtId="0" fontId="33" fillId="0" borderId="60" xfId="0" applyFont="1" applyBorder="1" applyAlignment="1">
      <alignment horizontal="right"/>
    </xf>
    <xf numFmtId="0" fontId="33" fillId="0" borderId="36" xfId="0" applyFont="1" applyBorder="1" applyAlignment="1">
      <alignment horizontal="right"/>
    </xf>
    <xf numFmtId="40" fontId="32" fillId="2" borderId="1" xfId="0" applyNumberFormat="1" applyFont="1" applyFill="1" applyBorder="1" applyAlignment="1">
      <alignment horizontal="center"/>
    </xf>
    <xf numFmtId="40" fontId="32" fillId="2" borderId="34" xfId="0" applyNumberFormat="1" applyFont="1" applyFill="1" applyBorder="1" applyAlignment="1">
      <alignment horizontal="center"/>
    </xf>
    <xf numFmtId="40" fontId="34" fillId="0" borderId="36" xfId="0" applyNumberFormat="1" applyFont="1" applyBorder="1" applyAlignment="1">
      <alignment horizontal="center"/>
    </xf>
    <xf numFmtId="40" fontId="34" fillId="0" borderId="3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0" fontId="31" fillId="0" borderId="1" xfId="0" applyNumberFormat="1" applyFont="1" applyBorder="1" applyAlignment="1">
      <alignment horizontal="center"/>
    </xf>
    <xf numFmtId="40" fontId="31" fillId="0" borderId="34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/>
    </xf>
    <xf numFmtId="0" fontId="48" fillId="0" borderId="71" xfId="0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1" fontId="31" fillId="0" borderId="34" xfId="0" applyNumberFormat="1" applyFont="1" applyBorder="1" applyAlignment="1">
      <alignment horizontal="center"/>
    </xf>
    <xf numFmtId="40" fontId="54" fillId="2" borderId="1" xfId="0" applyNumberFormat="1" applyFont="1" applyFill="1" applyBorder="1" applyAlignment="1">
      <alignment horizontal="center"/>
    </xf>
    <xf numFmtId="40" fontId="54" fillId="2" borderId="34" xfId="0" applyNumberFormat="1" applyFont="1" applyFill="1" applyBorder="1" applyAlignment="1">
      <alignment horizontal="center"/>
    </xf>
    <xf numFmtId="1" fontId="59" fillId="0" borderId="61" xfId="0" applyNumberFormat="1" applyFont="1" applyBorder="1" applyAlignment="1">
      <alignment horizontal="center"/>
    </xf>
    <xf numFmtId="1" fontId="59" fillId="0" borderId="73" xfId="0" applyNumberFormat="1" applyFont="1" applyBorder="1" applyAlignment="1">
      <alignment horizontal="center"/>
    </xf>
    <xf numFmtId="1" fontId="59" fillId="0" borderId="74" xfId="0" applyNumberFormat="1" applyFont="1" applyBorder="1" applyAlignment="1">
      <alignment horizontal="center"/>
    </xf>
    <xf numFmtId="0" fontId="61" fillId="0" borderId="21" xfId="0" applyFont="1" applyBorder="1" applyAlignment="1">
      <alignment horizontal="center" vertical="center"/>
    </xf>
    <xf numFmtId="0" fontId="25" fillId="0" borderId="1" xfId="0" applyFont="1" applyBorder="1" applyAlignment="1">
      <alignment horizontal="right"/>
    </xf>
    <xf numFmtId="0" fontId="43" fillId="0" borderId="36" xfId="0" applyFont="1" applyBorder="1" applyAlignment="1">
      <alignment horizontal="right"/>
    </xf>
    <xf numFmtId="0" fontId="25" fillId="0" borderId="48" xfId="0" applyFont="1" applyBorder="1" applyAlignment="1">
      <alignment horizontal="center"/>
    </xf>
    <xf numFmtId="0" fontId="25" fillId="0" borderId="70" xfId="0" applyFont="1" applyBorder="1" applyAlignment="1">
      <alignment horizontal="center"/>
    </xf>
    <xf numFmtId="1" fontId="58" fillId="0" borderId="1" xfId="0" applyNumberFormat="1" applyFont="1" applyBorder="1" applyAlignment="1">
      <alignment horizontal="center"/>
    </xf>
    <xf numFmtId="1" fontId="58" fillId="0" borderId="34" xfId="0" applyNumberFormat="1" applyFont="1" applyBorder="1" applyAlignment="1">
      <alignment horizontal="center"/>
    </xf>
    <xf numFmtId="0" fontId="57" fillId="0" borderId="54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opLeftCell="A5" zoomScaleNormal="100" workbookViewId="0">
      <selection activeCell="E24" sqref="E24"/>
    </sheetView>
  </sheetViews>
  <sheetFormatPr defaultColWidth="9.140625" defaultRowHeight="12.75" x14ac:dyDescent="0.2"/>
  <cols>
    <col min="1" max="1" width="3" style="4" customWidth="1"/>
    <col min="2" max="2" width="35.42578125" style="4" customWidth="1"/>
    <col min="3" max="8" width="12.140625" style="4" customWidth="1"/>
    <col min="9" max="9" width="13.85546875" style="4" customWidth="1"/>
    <col min="10" max="10" width="12.85546875" style="4" customWidth="1"/>
    <col min="11" max="16384" width="9.140625" style="4"/>
  </cols>
  <sheetData>
    <row r="2" spans="1:10" ht="21.6" customHeight="1" x14ac:dyDescent="0.2">
      <c r="A2" s="408" t="s">
        <v>59</v>
      </c>
      <c r="B2" s="409"/>
      <c r="C2" s="409"/>
      <c r="D2" s="409"/>
      <c r="E2" s="409"/>
      <c r="F2" s="409"/>
      <c r="G2" s="409"/>
      <c r="H2" s="409"/>
      <c r="I2" s="410"/>
    </row>
    <row r="3" spans="1:10" s="1" customFormat="1" ht="41.25" customHeight="1" x14ac:dyDescent="0.25">
      <c r="A3" s="14">
        <v>1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</row>
    <row r="4" spans="1:10" ht="25.5" x14ac:dyDescent="0.2">
      <c r="A4" s="2"/>
      <c r="B4" s="8" t="s">
        <v>8</v>
      </c>
      <c r="C4" s="8">
        <v>100</v>
      </c>
      <c r="D4" s="8">
        <v>100</v>
      </c>
      <c r="E4" s="8">
        <v>4350</v>
      </c>
      <c r="F4" s="2"/>
      <c r="G4" s="2"/>
      <c r="H4" s="2"/>
      <c r="I4" s="3" t="s">
        <v>56</v>
      </c>
    </row>
    <row r="5" spans="1:10" x14ac:dyDescent="0.2">
      <c r="A5" s="2"/>
      <c r="B5" s="2"/>
      <c r="C5" s="2"/>
      <c r="D5" s="2"/>
      <c r="E5" s="2" t="s">
        <v>19</v>
      </c>
      <c r="F5" s="2"/>
      <c r="G5" s="2"/>
      <c r="H5" s="2"/>
      <c r="I5" s="2"/>
    </row>
    <row r="6" spans="1:10" x14ac:dyDescent="0.2">
      <c r="A6" s="2" t="s">
        <v>9</v>
      </c>
      <c r="B6" s="2" t="s">
        <v>13</v>
      </c>
      <c r="C6" s="5">
        <v>61.5</v>
      </c>
      <c r="D6" s="5">
        <v>61.5</v>
      </c>
      <c r="E6" s="5">
        <v>61.5</v>
      </c>
      <c r="F6" s="5">
        <v>2675.25</v>
      </c>
      <c r="G6" s="6">
        <v>50475</v>
      </c>
      <c r="H6" s="6">
        <v>1000</v>
      </c>
      <c r="I6" s="6">
        <v>1350332.44</v>
      </c>
    </row>
    <row r="7" spans="1:10" x14ac:dyDescent="0.2">
      <c r="A7" s="2" t="s">
        <v>10</v>
      </c>
      <c r="B7" s="2" t="s">
        <v>14</v>
      </c>
      <c r="C7" s="5">
        <v>23.1</v>
      </c>
      <c r="D7" s="5">
        <v>23.1</v>
      </c>
      <c r="E7" s="5">
        <v>23.1</v>
      </c>
      <c r="F7" s="5">
        <v>1004.85</v>
      </c>
      <c r="G7" s="6">
        <v>50475</v>
      </c>
      <c r="H7" s="6">
        <v>1000</v>
      </c>
      <c r="I7" s="6">
        <v>507198.04</v>
      </c>
    </row>
    <row r="8" spans="1:10" x14ac:dyDescent="0.2">
      <c r="A8" s="2" t="s">
        <v>11</v>
      </c>
      <c r="B8" s="2" t="s">
        <v>15</v>
      </c>
      <c r="C8" s="5"/>
      <c r="D8" s="5"/>
      <c r="E8" s="5"/>
      <c r="F8" s="5">
        <v>669.9</v>
      </c>
      <c r="G8" s="6">
        <v>50475</v>
      </c>
      <c r="H8" s="6">
        <v>1000</v>
      </c>
      <c r="I8" s="6">
        <v>338132.03</v>
      </c>
    </row>
    <row r="9" spans="1:10" x14ac:dyDescent="0.2">
      <c r="A9" s="2"/>
      <c r="B9" s="2"/>
      <c r="C9" s="5"/>
      <c r="D9" s="5"/>
      <c r="E9" s="5"/>
      <c r="F9" s="5"/>
      <c r="G9" s="6"/>
      <c r="H9" s="6" t="s">
        <v>20</v>
      </c>
      <c r="I9" s="6">
        <v>2195662.5</v>
      </c>
      <c r="J9" s="7"/>
    </row>
    <row r="10" spans="1:10" x14ac:dyDescent="0.2">
      <c r="A10" s="2" t="s">
        <v>12</v>
      </c>
      <c r="B10" s="2" t="s">
        <v>16</v>
      </c>
      <c r="C10" s="5">
        <v>2.6</v>
      </c>
      <c r="D10" s="5">
        <v>2.6</v>
      </c>
      <c r="E10" s="5">
        <v>2.6</v>
      </c>
      <c r="F10" s="5">
        <v>113.1</v>
      </c>
      <c r="G10" s="6"/>
      <c r="H10" s="6">
        <v>1000</v>
      </c>
      <c r="I10" s="6"/>
      <c r="J10" s="7"/>
    </row>
    <row r="11" spans="1:10" x14ac:dyDescent="0.2">
      <c r="A11" s="2"/>
      <c r="B11" s="2" t="s">
        <v>17</v>
      </c>
      <c r="C11" s="5"/>
      <c r="D11" s="5"/>
      <c r="E11" s="5"/>
      <c r="F11" s="5"/>
      <c r="G11" s="6"/>
      <c r="H11" s="6"/>
      <c r="I11" s="6"/>
      <c r="J11" s="7"/>
    </row>
    <row r="12" spans="1:10" x14ac:dyDescent="0.2">
      <c r="A12" s="2"/>
      <c r="B12" s="2" t="s">
        <v>18</v>
      </c>
      <c r="C12" s="5">
        <v>102.6</v>
      </c>
      <c r="D12" s="5">
        <v>102.6</v>
      </c>
      <c r="E12" s="5"/>
      <c r="F12" s="5">
        <v>4463.1000000000004</v>
      </c>
      <c r="G12" s="6"/>
      <c r="H12" s="6"/>
      <c r="I12" s="6">
        <v>2195662.5</v>
      </c>
      <c r="J12" s="7"/>
    </row>
    <row r="13" spans="1:10" x14ac:dyDescent="0.2">
      <c r="A13" s="2"/>
      <c r="B13" s="2"/>
      <c r="C13" s="5"/>
      <c r="D13" s="5"/>
      <c r="E13" s="5"/>
      <c r="F13" s="5"/>
      <c r="G13" s="6"/>
      <c r="H13" s="6"/>
      <c r="I13" s="6"/>
      <c r="J13" s="7"/>
    </row>
    <row r="14" spans="1:10" ht="51" x14ac:dyDescent="0.2">
      <c r="A14" s="15">
        <v>2</v>
      </c>
      <c r="B14" s="14" t="s">
        <v>21</v>
      </c>
      <c r="C14" s="16" t="s">
        <v>23</v>
      </c>
      <c r="D14" s="16" t="s">
        <v>22</v>
      </c>
      <c r="E14" s="16" t="s">
        <v>24</v>
      </c>
      <c r="F14" s="14" t="s">
        <v>25</v>
      </c>
      <c r="G14" s="14" t="s">
        <v>5</v>
      </c>
      <c r="H14" s="14" t="s">
        <v>26</v>
      </c>
      <c r="I14" s="14" t="s">
        <v>27</v>
      </c>
      <c r="J14" s="7"/>
    </row>
    <row r="15" spans="1:10" x14ac:dyDescent="0.2">
      <c r="A15" s="2" t="s">
        <v>28</v>
      </c>
      <c r="B15" s="2" t="s">
        <v>37</v>
      </c>
      <c r="C15" s="6">
        <v>0.41</v>
      </c>
      <c r="D15" s="6">
        <v>0.41</v>
      </c>
      <c r="E15" s="6">
        <v>0.41</v>
      </c>
      <c r="F15" s="5">
        <v>17.835000000000001</v>
      </c>
      <c r="G15" s="6">
        <v>5718</v>
      </c>
      <c r="H15" s="6">
        <v>1000</v>
      </c>
      <c r="I15" s="6">
        <v>1019.81</v>
      </c>
      <c r="J15" s="7">
        <f>F15*G15*H15/100000</f>
        <v>1019.8053</v>
      </c>
    </row>
    <row r="16" spans="1:10" x14ac:dyDescent="0.2">
      <c r="A16" s="2" t="s">
        <v>29</v>
      </c>
      <c r="B16" s="2" t="s">
        <v>38</v>
      </c>
      <c r="C16" s="6">
        <v>0.09</v>
      </c>
      <c r="D16" s="6">
        <v>0.09</v>
      </c>
      <c r="E16" s="6">
        <v>0.09</v>
      </c>
      <c r="F16" s="5">
        <v>3.915</v>
      </c>
      <c r="G16" s="6"/>
      <c r="H16" s="6">
        <v>1000</v>
      </c>
      <c r="I16" s="6"/>
      <c r="J16" s="7">
        <f t="shared" ref="J16:J24" si="0">F16*G16*H16/100000</f>
        <v>0</v>
      </c>
    </row>
    <row r="17" spans="1:10" x14ac:dyDescent="0.2">
      <c r="A17" s="2" t="s">
        <v>30</v>
      </c>
      <c r="B17" s="2" t="s">
        <v>39</v>
      </c>
      <c r="C17" s="6">
        <v>0.1</v>
      </c>
      <c r="D17" s="6">
        <v>0.12</v>
      </c>
      <c r="E17" s="6">
        <v>0.11</v>
      </c>
      <c r="F17" s="5">
        <v>4.6399999999999997</v>
      </c>
      <c r="G17" s="6">
        <v>22890</v>
      </c>
      <c r="H17" s="6">
        <v>1000</v>
      </c>
      <c r="I17" s="6">
        <v>1062.0999999999999</v>
      </c>
      <c r="J17" s="7">
        <f t="shared" si="0"/>
        <v>1062.0959999999998</v>
      </c>
    </row>
    <row r="18" spans="1:10" x14ac:dyDescent="0.2">
      <c r="A18" s="2" t="s">
        <v>31</v>
      </c>
      <c r="B18" s="2" t="s">
        <v>40</v>
      </c>
      <c r="C18" s="6">
        <v>0.11</v>
      </c>
      <c r="D18" s="6">
        <v>0.12</v>
      </c>
      <c r="E18" s="6">
        <v>0.11</v>
      </c>
      <c r="F18" s="5">
        <v>4.93</v>
      </c>
      <c r="G18" s="6">
        <v>56384</v>
      </c>
      <c r="H18" s="6">
        <v>1000</v>
      </c>
      <c r="I18" s="6">
        <v>2779.73</v>
      </c>
      <c r="J18" s="7">
        <f t="shared" si="0"/>
        <v>2779.7312000000002</v>
      </c>
    </row>
    <row r="19" spans="1:10" x14ac:dyDescent="0.2">
      <c r="A19" s="2" t="s">
        <v>32</v>
      </c>
      <c r="B19" s="2" t="s">
        <v>41</v>
      </c>
      <c r="C19" s="6">
        <v>11.41</v>
      </c>
      <c r="D19" s="6">
        <v>11.5</v>
      </c>
      <c r="E19" s="6">
        <v>11.44</v>
      </c>
      <c r="F19" s="5">
        <v>497.64</v>
      </c>
      <c r="G19" s="6">
        <v>58205</v>
      </c>
      <c r="H19" s="6">
        <v>1000</v>
      </c>
      <c r="I19" s="6">
        <v>289651.36</v>
      </c>
      <c r="J19" s="7">
        <f t="shared" si="0"/>
        <v>289651.36200000002</v>
      </c>
    </row>
    <row r="20" spans="1:10" x14ac:dyDescent="0.2">
      <c r="A20" s="2" t="s">
        <v>33</v>
      </c>
      <c r="B20" s="2" t="s">
        <v>42</v>
      </c>
      <c r="C20" s="6">
        <v>3.69</v>
      </c>
      <c r="D20" s="6">
        <v>3.71</v>
      </c>
      <c r="E20" s="6">
        <v>3.7</v>
      </c>
      <c r="F20" s="5">
        <v>160.80500000000001</v>
      </c>
      <c r="G20" s="6">
        <v>58205</v>
      </c>
      <c r="H20" s="6">
        <v>1000</v>
      </c>
      <c r="I20" s="6">
        <v>93596.55</v>
      </c>
      <c r="J20" s="7">
        <f t="shared" si="0"/>
        <v>93596.55025</v>
      </c>
    </row>
    <row r="21" spans="1:10" x14ac:dyDescent="0.2">
      <c r="A21" s="2" t="s">
        <v>34</v>
      </c>
      <c r="B21" s="2" t="s">
        <v>43</v>
      </c>
      <c r="C21" s="6">
        <v>35.1</v>
      </c>
      <c r="D21" s="6">
        <v>35</v>
      </c>
      <c r="E21" s="6">
        <v>35.07</v>
      </c>
      <c r="F21" s="5">
        <v>1525.4</v>
      </c>
      <c r="G21" s="6">
        <v>58593</v>
      </c>
      <c r="H21" s="6">
        <v>1000</v>
      </c>
      <c r="I21" s="6">
        <v>893777.62</v>
      </c>
      <c r="J21" s="7">
        <f t="shared" si="0"/>
        <v>893777.62199999997</v>
      </c>
    </row>
    <row r="22" spans="1:10" x14ac:dyDescent="0.2">
      <c r="A22" s="2" t="s">
        <v>35</v>
      </c>
      <c r="B22" s="2" t="s">
        <v>44</v>
      </c>
      <c r="C22" s="6">
        <v>50.69</v>
      </c>
      <c r="D22" s="6">
        <v>50.65</v>
      </c>
      <c r="E22" s="6">
        <v>50.68</v>
      </c>
      <c r="F22" s="5">
        <v>2204.4349999999999</v>
      </c>
      <c r="G22" s="6">
        <v>59005</v>
      </c>
      <c r="H22" s="6">
        <v>1000</v>
      </c>
      <c r="I22" s="6">
        <v>1300726.8700000001</v>
      </c>
      <c r="J22" s="7">
        <f t="shared" si="0"/>
        <v>1300726.8717499999</v>
      </c>
    </row>
    <row r="23" spans="1:10" x14ac:dyDescent="0.2">
      <c r="A23" s="2" t="s">
        <v>36</v>
      </c>
      <c r="B23" s="2" t="s">
        <v>45</v>
      </c>
      <c r="C23" s="6">
        <v>1</v>
      </c>
      <c r="D23" s="6">
        <v>1</v>
      </c>
      <c r="E23" s="6">
        <v>1</v>
      </c>
      <c r="F23" s="5">
        <v>43.5</v>
      </c>
      <c r="G23" s="6">
        <v>55522</v>
      </c>
      <c r="H23" s="6">
        <v>1000</v>
      </c>
      <c r="I23" s="6">
        <v>24152.07</v>
      </c>
      <c r="J23" s="7">
        <f t="shared" si="0"/>
        <v>24152.07</v>
      </c>
    </row>
    <row r="24" spans="1:10" x14ac:dyDescent="0.2">
      <c r="A24" s="2"/>
      <c r="B24" s="8" t="s">
        <v>46</v>
      </c>
      <c r="C24" s="12">
        <f>SUM(C15:C23)</f>
        <v>102.6</v>
      </c>
      <c r="D24" s="12">
        <f t="shared" ref="D24:F24" si="1">SUM(D15:D23)</f>
        <v>102.6</v>
      </c>
      <c r="E24" s="12">
        <f t="shared" si="1"/>
        <v>102.61</v>
      </c>
      <c r="F24" s="9">
        <f t="shared" si="1"/>
        <v>4463.1000000000004</v>
      </c>
      <c r="G24" s="12"/>
      <c r="H24" s="12"/>
      <c r="I24" s="12">
        <f>SUM(I15:I23)</f>
        <v>2606766.11</v>
      </c>
      <c r="J24" s="7">
        <f t="shared" si="0"/>
        <v>0</v>
      </c>
    </row>
    <row r="25" spans="1:10" x14ac:dyDescent="0.2">
      <c r="A25" s="2"/>
      <c r="B25" s="2" t="s">
        <v>47</v>
      </c>
      <c r="C25" s="6">
        <v>0</v>
      </c>
      <c r="D25" s="6">
        <v>0</v>
      </c>
      <c r="E25" s="6"/>
      <c r="F25" s="6">
        <f>E24*24</f>
        <v>2462.64</v>
      </c>
      <c r="G25" s="6"/>
      <c r="H25" s="6"/>
      <c r="I25" s="6"/>
      <c r="J25" s="7"/>
    </row>
    <row r="26" spans="1:10" x14ac:dyDescent="0.2">
      <c r="A26" s="2"/>
      <c r="B26" s="2" t="s">
        <v>48</v>
      </c>
      <c r="C26" s="6">
        <v>0</v>
      </c>
      <c r="D26" s="6">
        <v>0</v>
      </c>
      <c r="E26" s="6"/>
      <c r="F26" s="6"/>
      <c r="G26" s="6"/>
      <c r="H26" s="6"/>
      <c r="I26" s="6"/>
      <c r="J26" s="7"/>
    </row>
    <row r="27" spans="1:10" x14ac:dyDescent="0.2">
      <c r="A27" s="2"/>
      <c r="B27" s="2"/>
      <c r="C27" s="6"/>
      <c r="D27" s="6"/>
      <c r="E27" s="6"/>
      <c r="F27" s="6"/>
      <c r="G27" s="6"/>
      <c r="H27" s="6"/>
      <c r="I27" s="6"/>
      <c r="J27" s="7"/>
    </row>
    <row r="28" spans="1:10" x14ac:dyDescent="0.2">
      <c r="A28" s="2"/>
      <c r="B28" s="8" t="s">
        <v>49</v>
      </c>
      <c r="C28" s="13" t="s">
        <v>50</v>
      </c>
      <c r="D28" s="5"/>
      <c r="E28" s="10"/>
      <c r="F28" s="10"/>
      <c r="G28" s="11"/>
      <c r="H28" s="11"/>
      <c r="I28" s="11"/>
      <c r="J28" s="11"/>
    </row>
    <row r="29" spans="1:10" x14ac:dyDescent="0.2">
      <c r="A29" s="2"/>
      <c r="B29" s="8" t="s">
        <v>52</v>
      </c>
      <c r="C29" s="12">
        <v>2606766.11</v>
      </c>
      <c r="D29" s="5"/>
      <c r="E29" s="10"/>
      <c r="F29" s="10"/>
      <c r="G29" s="11"/>
      <c r="H29" s="11"/>
      <c r="I29" s="11"/>
      <c r="J29" s="11"/>
    </row>
    <row r="30" spans="1:10" x14ac:dyDescent="0.2">
      <c r="A30" s="2"/>
      <c r="B30" s="2" t="s">
        <v>51</v>
      </c>
      <c r="C30" s="6">
        <v>2195662.5</v>
      </c>
      <c r="D30" s="5">
        <v>411103.61</v>
      </c>
      <c r="E30" s="10"/>
      <c r="F30" s="10"/>
      <c r="G30" s="11"/>
      <c r="H30" s="11"/>
      <c r="I30" s="11"/>
      <c r="J30" s="11"/>
    </row>
    <row r="31" spans="1:10" x14ac:dyDescent="0.2">
      <c r="A31" s="2"/>
      <c r="B31" s="2"/>
      <c r="C31" s="6"/>
      <c r="D31" s="6"/>
      <c r="E31" s="11"/>
      <c r="F31" s="11"/>
      <c r="G31" s="11"/>
      <c r="H31" s="11"/>
      <c r="I31" s="11"/>
      <c r="J31" s="11"/>
    </row>
    <row r="32" spans="1:10" x14ac:dyDescent="0.2">
      <c r="A32" s="2" t="s">
        <v>55</v>
      </c>
      <c r="B32" s="2" t="s">
        <v>53</v>
      </c>
      <c r="C32" s="6">
        <v>5461.25</v>
      </c>
      <c r="D32" s="6">
        <v>405642.36</v>
      </c>
      <c r="E32" s="7"/>
      <c r="F32" s="7"/>
      <c r="G32" s="7"/>
      <c r="H32" s="7"/>
      <c r="I32" s="7"/>
      <c r="J32" s="7"/>
    </row>
    <row r="33" spans="1:10" x14ac:dyDescent="0.2">
      <c r="A33" s="2"/>
      <c r="B33" s="2"/>
      <c r="C33" s="6"/>
      <c r="D33" s="6"/>
      <c r="E33" s="7"/>
      <c r="F33" s="7"/>
      <c r="G33" s="7"/>
      <c r="H33" s="7"/>
      <c r="I33" s="7"/>
      <c r="J33" s="7"/>
    </row>
    <row r="34" spans="1:10" x14ac:dyDescent="0.2">
      <c r="A34" s="2"/>
      <c r="B34" s="8" t="s">
        <v>54</v>
      </c>
      <c r="C34" s="12">
        <f>C29-C30-C32</f>
        <v>405642.35999999987</v>
      </c>
      <c r="D34" s="6"/>
      <c r="E34" s="7"/>
      <c r="F34" s="7"/>
      <c r="G34" s="7"/>
      <c r="H34" s="7"/>
      <c r="I34" s="7"/>
      <c r="J34" s="7"/>
    </row>
    <row r="35" spans="1:10" x14ac:dyDescent="0.2">
      <c r="C35" s="7"/>
      <c r="D35" s="7"/>
      <c r="E35" s="7"/>
      <c r="F35" s="7"/>
      <c r="G35" s="7"/>
      <c r="H35" s="7"/>
      <c r="I35" s="7"/>
      <c r="J35" s="7"/>
    </row>
    <row r="36" spans="1:10" x14ac:dyDescent="0.2">
      <c r="B36" s="4" t="s">
        <v>57</v>
      </c>
      <c r="C36" s="7"/>
      <c r="D36" s="7"/>
      <c r="E36" s="7"/>
      <c r="F36" s="7"/>
      <c r="G36" s="7"/>
      <c r="H36" s="7"/>
      <c r="I36" s="7"/>
      <c r="J36" s="7"/>
    </row>
    <row r="37" spans="1:10" x14ac:dyDescent="0.2">
      <c r="B37" s="4" t="s">
        <v>58</v>
      </c>
      <c r="C37" s="7"/>
      <c r="D37" s="7"/>
      <c r="E37" s="7"/>
      <c r="F37" s="7"/>
      <c r="G37" s="7"/>
      <c r="H37" s="7"/>
      <c r="I37" s="7"/>
      <c r="J37" s="7"/>
    </row>
    <row r="38" spans="1:10" x14ac:dyDescent="0.2">
      <c r="C38" s="7"/>
      <c r="D38" s="7"/>
      <c r="E38" s="7"/>
      <c r="F38" s="7"/>
      <c r="G38" s="7"/>
      <c r="H38" s="7"/>
      <c r="I38" s="7"/>
      <c r="J38" s="7"/>
    </row>
    <row r="39" spans="1:10" x14ac:dyDescent="0.2">
      <c r="C39" s="7"/>
      <c r="D39" s="7"/>
      <c r="E39" s="7"/>
      <c r="F39" s="7"/>
      <c r="G39" s="7"/>
      <c r="H39" s="7"/>
      <c r="I39" s="7"/>
      <c r="J39" s="7"/>
    </row>
    <row r="40" spans="1:10" x14ac:dyDescent="0.2">
      <c r="C40" s="7"/>
      <c r="D40" s="7"/>
      <c r="E40" s="7"/>
      <c r="F40" s="7"/>
      <c r="G40" s="7"/>
      <c r="H40" s="7"/>
      <c r="I40" s="7"/>
      <c r="J40" s="7"/>
    </row>
    <row r="41" spans="1:10" x14ac:dyDescent="0.2">
      <c r="C41" s="7"/>
      <c r="D41" s="7"/>
      <c r="E41" s="7"/>
      <c r="F41" s="7"/>
      <c r="G41" s="7"/>
      <c r="H41" s="7"/>
      <c r="I41" s="7"/>
      <c r="J41" s="7"/>
    </row>
    <row r="42" spans="1:10" x14ac:dyDescent="0.2">
      <c r="C42" s="7"/>
      <c r="D42" s="7"/>
      <c r="E42" s="7"/>
      <c r="F42" s="7"/>
      <c r="G42" s="7"/>
      <c r="H42" s="7"/>
      <c r="I42" s="7"/>
      <c r="J42" s="7"/>
    </row>
    <row r="43" spans="1:10" x14ac:dyDescent="0.2">
      <c r="C43" s="7"/>
      <c r="D43" s="7"/>
      <c r="E43" s="7"/>
      <c r="F43" s="7"/>
      <c r="G43" s="7"/>
      <c r="H43" s="7"/>
      <c r="I43" s="7"/>
      <c r="J43" s="7"/>
    </row>
    <row r="44" spans="1:10" x14ac:dyDescent="0.2">
      <c r="C44" s="7"/>
      <c r="D44" s="7"/>
      <c r="E44" s="7"/>
      <c r="F44" s="7"/>
      <c r="G44" s="7"/>
      <c r="H44" s="7"/>
      <c r="I44" s="7"/>
      <c r="J44" s="7"/>
    </row>
    <row r="45" spans="1:10" x14ac:dyDescent="0.2">
      <c r="C45" s="7"/>
      <c r="D45" s="7"/>
      <c r="E45" s="7"/>
      <c r="F45" s="7"/>
      <c r="G45" s="7"/>
      <c r="H45" s="7"/>
      <c r="I45" s="7"/>
      <c r="J45" s="7"/>
    </row>
    <row r="46" spans="1:10" x14ac:dyDescent="0.2">
      <c r="C46" s="7"/>
      <c r="D46" s="7"/>
      <c r="E46" s="7"/>
      <c r="F46" s="7"/>
      <c r="G46" s="7"/>
      <c r="H46" s="7"/>
      <c r="I46" s="7"/>
      <c r="J46" s="7"/>
    </row>
    <row r="47" spans="1:10" x14ac:dyDescent="0.2">
      <c r="C47" s="7"/>
      <c r="D47" s="7"/>
      <c r="E47" s="7"/>
      <c r="F47" s="7"/>
      <c r="G47" s="7"/>
      <c r="H47" s="7"/>
      <c r="I47" s="7"/>
      <c r="J47" s="7"/>
    </row>
    <row r="48" spans="1:10" x14ac:dyDescent="0.2">
      <c r="C48" s="7"/>
      <c r="D48" s="7"/>
      <c r="E48" s="7"/>
      <c r="F48" s="7"/>
      <c r="G48" s="7"/>
      <c r="H48" s="7"/>
      <c r="I48" s="7"/>
      <c r="J48" s="7"/>
    </row>
    <row r="49" spans="3:10" x14ac:dyDescent="0.2">
      <c r="C49" s="7"/>
      <c r="D49" s="7"/>
      <c r="E49" s="7"/>
      <c r="F49" s="7"/>
      <c r="G49" s="7"/>
      <c r="H49" s="7"/>
      <c r="I49" s="7"/>
      <c r="J49" s="7"/>
    </row>
    <row r="50" spans="3:10" x14ac:dyDescent="0.2">
      <c r="C50" s="7"/>
      <c r="D50" s="7"/>
      <c r="E50" s="7"/>
      <c r="F50" s="7"/>
      <c r="G50" s="7"/>
      <c r="H50" s="7"/>
      <c r="I50" s="7"/>
      <c r="J50" s="7"/>
    </row>
    <row r="51" spans="3:10" x14ac:dyDescent="0.2">
      <c r="C51" s="7"/>
      <c r="D51" s="7"/>
      <c r="E51" s="7"/>
      <c r="F51" s="7"/>
      <c r="G51" s="7"/>
      <c r="H51" s="7"/>
      <c r="I51" s="7"/>
      <c r="J51" s="7"/>
    </row>
    <row r="52" spans="3:10" x14ac:dyDescent="0.2">
      <c r="C52" s="7"/>
      <c r="D52" s="7"/>
      <c r="E52" s="7"/>
      <c r="F52" s="7"/>
      <c r="G52" s="7"/>
      <c r="H52" s="7"/>
      <c r="I52" s="7"/>
      <c r="J52" s="7"/>
    </row>
  </sheetData>
  <mergeCells count="1">
    <mergeCell ref="A2:I2"/>
  </mergeCells>
  <pageMargins left="0.7" right="0.7" top="0.75" bottom="0.75" header="0.3" footer="0.3"/>
  <pageSetup scale="71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8"/>
  <sheetViews>
    <sheetView zoomScale="81" zoomScaleNormal="81" workbookViewId="0">
      <selection activeCell="X5" sqref="X5"/>
    </sheetView>
  </sheetViews>
  <sheetFormatPr defaultRowHeight="15" x14ac:dyDescent="0.25"/>
  <cols>
    <col min="1" max="1" width="3.28515625" customWidth="1"/>
    <col min="2" max="2" width="25.85546875" customWidth="1"/>
    <col min="3" max="3" width="9" hidden="1" customWidth="1"/>
    <col min="4" max="4" width="10" customWidth="1"/>
    <col min="5" max="5" width="9.7109375" customWidth="1"/>
    <col min="6" max="6" width="9.28515625" customWidth="1"/>
    <col min="7" max="7" width="10" customWidth="1"/>
    <col min="8" max="8" width="12.7109375" customWidth="1"/>
    <col min="9" max="9" width="9.85546875" customWidth="1"/>
    <col min="10" max="10" width="9.140625" hidden="1" customWidth="1"/>
    <col min="11" max="11" width="9.5703125" hidden="1" customWidth="1"/>
    <col min="12" max="12" width="12.28515625" customWidth="1"/>
    <col min="13" max="13" width="10.140625" customWidth="1"/>
    <col min="14" max="14" width="13.28515625" customWidth="1"/>
    <col min="15" max="15" width="15.710937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4" ht="24" thickBot="1" x14ac:dyDescent="0.3">
      <c r="B2" s="468" t="s">
        <v>219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24" ht="45" x14ac:dyDescent="0.25">
      <c r="B3" s="320" t="s">
        <v>0</v>
      </c>
      <c r="C3" s="178" t="s">
        <v>177</v>
      </c>
      <c r="D3" s="64" t="s">
        <v>60</v>
      </c>
      <c r="E3" s="64" t="s">
        <v>61</v>
      </c>
      <c r="F3" s="64"/>
      <c r="G3" s="64"/>
      <c r="H3" s="64" t="s">
        <v>160</v>
      </c>
      <c r="I3" s="411" t="s">
        <v>158</v>
      </c>
      <c r="J3" s="412"/>
      <c r="K3" s="412"/>
      <c r="L3" s="64" t="s">
        <v>166</v>
      </c>
      <c r="M3" s="64" t="s">
        <v>152</v>
      </c>
      <c r="N3" s="64" t="s">
        <v>207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4" ht="30" x14ac:dyDescent="0.25">
      <c r="B4" s="264"/>
      <c r="C4" s="265" t="s">
        <v>111</v>
      </c>
      <c r="D4" s="266" t="s">
        <v>140</v>
      </c>
      <c r="E4" s="266" t="s">
        <v>140</v>
      </c>
      <c r="F4" s="266"/>
      <c r="G4" s="266"/>
      <c r="H4" s="266" t="s">
        <v>159</v>
      </c>
      <c r="I4" s="266" t="s">
        <v>109</v>
      </c>
      <c r="J4" s="266" t="s">
        <v>178</v>
      </c>
      <c r="K4" s="267" t="s">
        <v>139</v>
      </c>
      <c r="L4" s="266" t="s">
        <v>139</v>
      </c>
      <c r="M4" s="266" t="s">
        <v>146</v>
      </c>
      <c r="N4" s="266" t="s">
        <v>149</v>
      </c>
      <c r="O4" s="268" t="s">
        <v>151</v>
      </c>
      <c r="P4" s="445"/>
      <c r="Q4" s="429"/>
      <c r="R4" s="429" t="s">
        <v>60</v>
      </c>
      <c r="S4" s="429"/>
      <c r="T4" s="121" t="s">
        <v>61</v>
      </c>
      <c r="U4" s="121" t="s">
        <v>60</v>
      </c>
      <c r="V4" s="121" t="s">
        <v>61</v>
      </c>
    </row>
    <row r="5" spans="1:24" ht="15.75" x14ac:dyDescent="0.25">
      <c r="B5" s="269" t="s">
        <v>99</v>
      </c>
      <c r="C5" s="265">
        <v>880</v>
      </c>
      <c r="D5" s="266">
        <v>13.5</v>
      </c>
      <c r="E5" s="266">
        <v>13.5</v>
      </c>
      <c r="F5" s="266"/>
      <c r="G5" s="266"/>
      <c r="H5" s="301">
        <f>(D5*2/3)+(E5*1/3)</f>
        <v>13.5</v>
      </c>
      <c r="I5" s="270">
        <f>182*H5%</f>
        <v>24.57</v>
      </c>
      <c r="J5" s="270">
        <f>I5*1000/C5</f>
        <v>27.920454545454547</v>
      </c>
      <c r="K5" s="349">
        <f>I5*24</f>
        <v>589.68000000000006</v>
      </c>
      <c r="L5" s="355">
        <f>I5*24</f>
        <v>589.68000000000006</v>
      </c>
      <c r="M5" s="352">
        <v>29555</v>
      </c>
      <c r="N5" s="271">
        <v>1000</v>
      </c>
      <c r="O5" s="309">
        <f>L5*M5*N5/100000</f>
        <v>174279.92400000003</v>
      </c>
      <c r="P5" s="425" t="s">
        <v>65</v>
      </c>
      <c r="Q5" s="426"/>
      <c r="R5" s="428"/>
      <c r="S5" s="428"/>
      <c r="T5" s="120"/>
      <c r="U5" s="120"/>
      <c r="V5" s="120"/>
    </row>
    <row r="6" spans="1:24" ht="15.75" x14ac:dyDescent="0.25">
      <c r="B6" s="272" t="s">
        <v>100</v>
      </c>
      <c r="C6" s="273">
        <v>965</v>
      </c>
      <c r="D6" s="274">
        <v>10.6</v>
      </c>
      <c r="E6" s="274">
        <v>10.6</v>
      </c>
      <c r="F6" s="274"/>
      <c r="G6" s="274"/>
      <c r="H6" s="301">
        <f>(D6*2/3)+(E6*1/3)</f>
        <v>10.6</v>
      </c>
      <c r="I6" s="270">
        <f t="shared" ref="I6:I8" si="0">182*H6%</f>
        <v>19.291999999999998</v>
      </c>
      <c r="J6" s="270">
        <f t="shared" ref="J6:J8" si="1">I6*1000/C6</f>
        <v>19.991709844559583</v>
      </c>
      <c r="K6" s="349">
        <f t="shared" ref="K6:K8" si="2">I6*24</f>
        <v>463.00799999999992</v>
      </c>
      <c r="L6" s="355">
        <f>I6*24</f>
        <v>463.00799999999992</v>
      </c>
      <c r="M6" s="352">
        <v>29555</v>
      </c>
      <c r="N6" s="271">
        <v>1000</v>
      </c>
      <c r="O6" s="309">
        <f t="shared" ref="O6:O8" si="3">L6*M6*N6/100000</f>
        <v>136842.01439999999</v>
      </c>
      <c r="P6" s="425" t="s">
        <v>69</v>
      </c>
      <c r="Q6" s="426"/>
      <c r="R6" s="428"/>
      <c r="S6" s="428"/>
      <c r="T6" s="120"/>
      <c r="U6" s="120"/>
      <c r="V6" s="120"/>
    </row>
    <row r="7" spans="1:24" ht="15.75" x14ac:dyDescent="0.25">
      <c r="B7" s="269" t="s">
        <v>93</v>
      </c>
      <c r="C7" s="265">
        <v>920</v>
      </c>
      <c r="D7" s="266">
        <v>61.6</v>
      </c>
      <c r="E7" s="266">
        <v>61.6</v>
      </c>
      <c r="F7" s="266"/>
      <c r="G7" s="266"/>
      <c r="H7" s="301">
        <f>(D7*2/3)+(E7*1/3)</f>
        <v>61.600000000000009</v>
      </c>
      <c r="I7" s="270">
        <f t="shared" si="0"/>
        <v>112.11200000000002</v>
      </c>
      <c r="J7" s="270">
        <f t="shared" si="1"/>
        <v>121.86086956521743</v>
      </c>
      <c r="K7" s="349">
        <f t="shared" si="2"/>
        <v>2690.6880000000006</v>
      </c>
      <c r="L7" s="355">
        <f>I7*24</f>
        <v>2690.6880000000006</v>
      </c>
      <c r="M7" s="352">
        <v>29555</v>
      </c>
      <c r="N7" s="271">
        <v>1000</v>
      </c>
      <c r="O7" s="309">
        <f t="shared" si="3"/>
        <v>795232.83840000012</v>
      </c>
      <c r="P7" s="425" t="s">
        <v>70</v>
      </c>
      <c r="Q7" s="426"/>
      <c r="R7" s="428"/>
      <c r="S7" s="428"/>
      <c r="T7" s="120"/>
      <c r="U7" s="120"/>
      <c r="V7" s="120"/>
    </row>
    <row r="8" spans="1:24" ht="15.75" x14ac:dyDescent="0.25">
      <c r="B8" s="269" t="s">
        <v>138</v>
      </c>
      <c r="C8" s="265">
        <v>870</v>
      </c>
      <c r="D8" s="266">
        <v>14.3</v>
      </c>
      <c r="E8" s="266">
        <v>14.3</v>
      </c>
      <c r="F8" s="266"/>
      <c r="G8" s="266"/>
      <c r="H8" s="301">
        <f>(D8*2/3)+(E8*1/3)</f>
        <v>14.3</v>
      </c>
      <c r="I8" s="270">
        <f t="shared" si="0"/>
        <v>26.026000000000003</v>
      </c>
      <c r="J8" s="270">
        <f t="shared" si="1"/>
        <v>29.914942528735637</v>
      </c>
      <c r="K8" s="349">
        <f t="shared" si="2"/>
        <v>624.62400000000002</v>
      </c>
      <c r="L8" s="355">
        <f>I8*24</f>
        <v>624.62400000000002</v>
      </c>
      <c r="M8" s="352">
        <v>29555</v>
      </c>
      <c r="N8" s="271">
        <v>1000</v>
      </c>
      <c r="O8" s="309">
        <f t="shared" si="3"/>
        <v>184607.6232</v>
      </c>
      <c r="P8" s="427" t="s">
        <v>71</v>
      </c>
      <c r="Q8" s="428"/>
      <c r="R8" s="428"/>
      <c r="S8" s="428"/>
      <c r="T8" s="120"/>
      <c r="U8" s="120"/>
      <c r="V8" s="120"/>
    </row>
    <row r="9" spans="1:24" ht="15.75" x14ac:dyDescent="0.25">
      <c r="B9" s="370" t="s">
        <v>208</v>
      </c>
      <c r="C9" s="371"/>
      <c r="D9" s="292">
        <f>SUM(D5:D8)</f>
        <v>100</v>
      </c>
      <c r="E9" s="292">
        <f t="shared" ref="E9:J9" si="4">SUM(E5:E8)</f>
        <v>100</v>
      </c>
      <c r="F9" s="292"/>
      <c r="G9" s="292"/>
      <c r="H9" s="372">
        <f t="shared" si="4"/>
        <v>100.00000000000001</v>
      </c>
      <c r="I9" s="292">
        <f t="shared" si="4"/>
        <v>182.00000000000003</v>
      </c>
      <c r="J9" s="373">
        <f t="shared" si="4"/>
        <v>199.68797648396719</v>
      </c>
      <c r="K9" s="374">
        <f>SUM(K5:K8)</f>
        <v>4368.0000000000009</v>
      </c>
      <c r="L9" s="375">
        <f t="shared" ref="L9" si="5">SUM(L5:L8)</f>
        <v>4368.0000000000009</v>
      </c>
      <c r="M9" s="277"/>
      <c r="N9" s="277"/>
      <c r="O9" s="310">
        <f t="shared" ref="O9" si="6">SUM(O5:O8)</f>
        <v>1290962.4000000001</v>
      </c>
      <c r="P9" s="427" t="s">
        <v>72</v>
      </c>
      <c r="Q9" s="428"/>
      <c r="R9" s="428"/>
      <c r="S9" s="428"/>
      <c r="T9" s="120"/>
      <c r="U9" s="120"/>
      <c r="V9" s="120"/>
    </row>
    <row r="10" spans="1:24" ht="32.25" thickBot="1" x14ac:dyDescent="0.3">
      <c r="B10" s="313" t="s">
        <v>217</v>
      </c>
      <c r="C10" s="278"/>
      <c r="D10" s="211">
        <v>2.6</v>
      </c>
      <c r="E10" s="211">
        <v>2.5</v>
      </c>
      <c r="F10" s="256"/>
      <c r="G10" s="256"/>
      <c r="H10" s="303">
        <f>(D10*2/3)+(E10*1/3)</f>
        <v>2.5666666666666669</v>
      </c>
      <c r="I10" s="212">
        <v>0</v>
      </c>
      <c r="J10" s="279">
        <f>I10*1000*22.4/2.01</f>
        <v>0</v>
      </c>
      <c r="K10" s="351">
        <f>I10*24</f>
        <v>0</v>
      </c>
      <c r="L10" s="303">
        <v>0</v>
      </c>
      <c r="M10" s="280"/>
      <c r="N10" s="280"/>
      <c r="O10" s="281"/>
      <c r="P10" s="423" t="s">
        <v>73</v>
      </c>
      <c r="Q10" s="424"/>
      <c r="R10" s="453"/>
      <c r="S10" s="424"/>
      <c r="T10" s="21"/>
      <c r="U10" s="21"/>
      <c r="V10" s="21"/>
    </row>
    <row r="11" spans="1:24" ht="18.75" thickBot="1" x14ac:dyDescent="0.3">
      <c r="B11" s="314" t="s">
        <v>210</v>
      </c>
      <c r="C11" s="282" t="s">
        <v>168</v>
      </c>
      <c r="D11" s="253">
        <f>D9+D10</f>
        <v>102.6</v>
      </c>
      <c r="E11" s="253">
        <f t="shared" ref="E11:L11" si="7">E9+E10</f>
        <v>102.5</v>
      </c>
      <c r="F11" s="197"/>
      <c r="G11" s="197"/>
      <c r="H11" s="304">
        <f t="shared" si="7"/>
        <v>102.56666666666668</v>
      </c>
      <c r="I11" s="253">
        <f t="shared" si="7"/>
        <v>182.00000000000003</v>
      </c>
      <c r="J11" s="198"/>
      <c r="K11" s="344">
        <f>K9+K10</f>
        <v>4368.0000000000009</v>
      </c>
      <c r="L11" s="357">
        <f t="shared" si="7"/>
        <v>4368.0000000000009</v>
      </c>
      <c r="M11" s="205"/>
      <c r="N11" s="205"/>
      <c r="O11" s="206"/>
      <c r="P11" s="122"/>
      <c r="Q11" s="123"/>
      <c r="R11" s="124"/>
      <c r="S11" s="123"/>
      <c r="T11" s="21"/>
      <c r="U11" s="21"/>
      <c r="V11" s="21"/>
    </row>
    <row r="12" spans="1:24" ht="54.6" customHeight="1" thickBot="1" x14ac:dyDescent="0.3">
      <c r="B12" s="475" t="s">
        <v>21</v>
      </c>
      <c r="C12" s="130" t="s">
        <v>177</v>
      </c>
      <c r="D12" s="130" t="s">
        <v>60</v>
      </c>
      <c r="E12" s="130" t="s">
        <v>61</v>
      </c>
      <c r="F12" s="130" t="s">
        <v>202</v>
      </c>
      <c r="G12" s="130" t="s">
        <v>203</v>
      </c>
      <c r="H12" s="130" t="s">
        <v>204</v>
      </c>
      <c r="I12" s="411" t="s">
        <v>162</v>
      </c>
      <c r="J12" s="412"/>
      <c r="K12" s="412"/>
      <c r="L12" s="130" t="s">
        <v>157</v>
      </c>
      <c r="M12" s="130" t="s">
        <v>152</v>
      </c>
      <c r="N12" s="130" t="s">
        <v>216</v>
      </c>
      <c r="O12" s="132" t="s">
        <v>163</v>
      </c>
      <c r="P12" s="454" t="s">
        <v>75</v>
      </c>
      <c r="Q12" s="455"/>
      <c r="R12" s="456">
        <v>1</v>
      </c>
      <c r="S12" s="457"/>
      <c r="T12" s="117">
        <v>1</v>
      </c>
      <c r="U12" s="117">
        <v>1</v>
      </c>
      <c r="V12" s="117">
        <v>1</v>
      </c>
    </row>
    <row r="13" spans="1:24" ht="31.9" customHeight="1" thickBot="1" x14ac:dyDescent="0.3">
      <c r="B13" s="476"/>
      <c r="C13" s="110" t="s">
        <v>111</v>
      </c>
      <c r="D13" s="295" t="s">
        <v>140</v>
      </c>
      <c r="E13" s="295" t="s">
        <v>140</v>
      </c>
      <c r="F13" s="295" t="s">
        <v>140</v>
      </c>
      <c r="G13" s="295" t="s">
        <v>140</v>
      </c>
      <c r="H13" s="295" t="s">
        <v>159</v>
      </c>
      <c r="I13" s="257" t="s">
        <v>109</v>
      </c>
      <c r="J13" s="257" t="s">
        <v>178</v>
      </c>
      <c r="K13" s="258" t="s">
        <v>139</v>
      </c>
      <c r="L13" s="295" t="s">
        <v>139</v>
      </c>
      <c r="M13" s="295" t="s">
        <v>146</v>
      </c>
      <c r="N13" s="295" t="s">
        <v>149</v>
      </c>
      <c r="O13" s="337" t="s">
        <v>151</v>
      </c>
      <c r="P13" s="22"/>
      <c r="Q13" s="23"/>
      <c r="R13" s="118"/>
      <c r="S13" s="117"/>
      <c r="T13" s="117"/>
      <c r="U13" s="117"/>
      <c r="V13" s="117"/>
    </row>
    <row r="14" spans="1:24" ht="19.899999999999999" customHeight="1" thickBot="1" x14ac:dyDescent="0.3">
      <c r="A14" s="219" t="s">
        <v>32</v>
      </c>
      <c r="B14" s="315" t="s">
        <v>65</v>
      </c>
      <c r="C14" s="283"/>
      <c r="D14" s="332">
        <v>0.5</v>
      </c>
      <c r="E14" s="332">
        <v>0.4</v>
      </c>
      <c r="F14" s="284">
        <f>D14*100/$D$23</f>
        <v>0.48732943469785578</v>
      </c>
      <c r="G14" s="284">
        <f>E14*100/$E$23</f>
        <v>0.3902439024390244</v>
      </c>
      <c r="H14" s="285">
        <f>(F14*2/3)+(G14*1/3)</f>
        <v>0.45496759061157865</v>
      </c>
      <c r="I14" s="285">
        <f t="shared" ref="I14:I21" si="8">$L$11*H14%/24</f>
        <v>0.82804101491307325</v>
      </c>
      <c r="J14" s="285"/>
      <c r="K14" s="285">
        <f>I14*24</f>
        <v>19.872984357913758</v>
      </c>
      <c r="L14" s="353">
        <f>I14*24</f>
        <v>19.872984357913758</v>
      </c>
      <c r="M14" s="286">
        <v>0</v>
      </c>
      <c r="N14" s="287">
        <v>1000</v>
      </c>
      <c r="O14" s="288">
        <f>L14*M14*N14</f>
        <v>0</v>
      </c>
      <c r="P14" s="22"/>
      <c r="Q14" s="23"/>
      <c r="R14" s="118"/>
      <c r="S14" s="117"/>
      <c r="T14" s="117"/>
      <c r="U14" s="117"/>
      <c r="V14" s="117"/>
      <c r="X14" s="381">
        <f>$I$11*D14%</f>
        <v>0.91000000000000014</v>
      </c>
    </row>
    <row r="15" spans="1:24" ht="19.899999999999999" customHeight="1" thickBot="1" x14ac:dyDescent="0.3">
      <c r="A15" s="219" t="s">
        <v>188</v>
      </c>
      <c r="B15" s="316" t="s">
        <v>69</v>
      </c>
      <c r="C15" s="280"/>
      <c r="D15" s="333">
        <v>0.1</v>
      </c>
      <c r="E15" s="333">
        <v>0.1</v>
      </c>
      <c r="F15" s="376">
        <f t="shared" ref="F15:F22" si="9">D15*100/$D$23</f>
        <v>9.7465886939571159E-2</v>
      </c>
      <c r="G15" s="376">
        <f t="shared" ref="G15:G22" si="10">E15*100/$E$23</f>
        <v>9.7560975609756101E-2</v>
      </c>
      <c r="H15" s="285">
        <f t="shared" ref="H15:H22" si="11">(F15*2/3)+(G15*1/3)</f>
        <v>9.7497583162966139E-2</v>
      </c>
      <c r="I15" s="285">
        <f t="shared" si="8"/>
        <v>0.1774456013565984</v>
      </c>
      <c r="J15" s="290"/>
      <c r="K15" s="285">
        <f t="shared" ref="K15:K21" si="12">I15*24</f>
        <v>4.2586944325583618</v>
      </c>
      <c r="L15" s="353">
        <f t="shared" ref="L15:L22" si="13">I15*24</f>
        <v>4.2586944325583618</v>
      </c>
      <c r="M15" s="291">
        <v>13306</v>
      </c>
      <c r="N15" s="287">
        <v>1000</v>
      </c>
      <c r="O15" s="311">
        <f>L15*M15*N15/100000</f>
        <v>566.66188119621563</v>
      </c>
      <c r="P15" s="22"/>
      <c r="Q15" s="23"/>
      <c r="R15" s="118"/>
      <c r="S15" s="117"/>
      <c r="T15" s="117"/>
      <c r="U15" s="117"/>
      <c r="V15" s="117"/>
      <c r="X15" s="381">
        <f t="shared" ref="X15:X21" si="14">$I$11*D15%</f>
        <v>0.18200000000000002</v>
      </c>
    </row>
    <row r="16" spans="1:24" ht="19.899999999999999" customHeight="1" thickBot="1" x14ac:dyDescent="0.3">
      <c r="A16" s="219" t="s">
        <v>189</v>
      </c>
      <c r="B16" s="316" t="s">
        <v>70</v>
      </c>
      <c r="C16" s="266">
        <v>550</v>
      </c>
      <c r="D16" s="334">
        <v>1.5</v>
      </c>
      <c r="E16" s="334">
        <v>1.7</v>
      </c>
      <c r="F16" s="284">
        <f t="shared" si="9"/>
        <v>1.4619883040935673</v>
      </c>
      <c r="G16" s="284">
        <f t="shared" si="10"/>
        <v>1.6585365853658536</v>
      </c>
      <c r="H16" s="285">
        <f t="shared" si="11"/>
        <v>1.5275043978509961</v>
      </c>
      <c r="I16" s="285">
        <f t="shared" si="8"/>
        <v>2.7800580040888132</v>
      </c>
      <c r="J16" s="290">
        <f>I16*1000/C16</f>
        <v>5.054650916525115</v>
      </c>
      <c r="K16" s="285">
        <f t="shared" si="12"/>
        <v>66.721392098131517</v>
      </c>
      <c r="L16" s="353">
        <f t="shared" si="13"/>
        <v>66.721392098131517</v>
      </c>
      <c r="M16" s="291">
        <v>34951</v>
      </c>
      <c r="N16" s="287">
        <v>1000</v>
      </c>
      <c r="O16" s="311">
        <f t="shared" ref="O16:O20" si="15">L16*M16*N16/100000</f>
        <v>23319.793752217945</v>
      </c>
      <c r="P16" s="22"/>
      <c r="Q16" s="23"/>
      <c r="R16" s="118"/>
      <c r="S16" s="117"/>
      <c r="T16" s="117"/>
      <c r="U16" s="117"/>
      <c r="V16" s="117"/>
      <c r="X16" s="381">
        <f t="shared" si="14"/>
        <v>2.7300000000000004</v>
      </c>
    </row>
    <row r="17" spans="1:25" ht="19.899999999999999" customHeight="1" thickBot="1" x14ac:dyDescent="0.3">
      <c r="A17" s="219" t="s">
        <v>190</v>
      </c>
      <c r="B17" s="316" t="s">
        <v>153</v>
      </c>
      <c r="C17" s="266">
        <v>700</v>
      </c>
      <c r="D17" s="334">
        <v>9</v>
      </c>
      <c r="E17" s="334">
        <v>9.5</v>
      </c>
      <c r="F17" s="376">
        <f t="shared" si="9"/>
        <v>8.7719298245614041</v>
      </c>
      <c r="G17" s="376">
        <f t="shared" si="10"/>
        <v>9.2682926829268286</v>
      </c>
      <c r="H17" s="285">
        <f t="shared" si="11"/>
        <v>8.9373841106832117</v>
      </c>
      <c r="I17" s="285">
        <f t="shared" si="8"/>
        <v>16.266039081443449</v>
      </c>
      <c r="J17" s="290">
        <f t="shared" ref="J17:J21" si="16">I17*1000/C17</f>
        <v>23.237198687776356</v>
      </c>
      <c r="K17" s="285">
        <f t="shared" si="12"/>
        <v>390.38493795464274</v>
      </c>
      <c r="L17" s="353">
        <f t="shared" si="13"/>
        <v>390.38493795464274</v>
      </c>
      <c r="M17" s="291">
        <v>40807</v>
      </c>
      <c r="N17" s="287">
        <v>1000</v>
      </c>
      <c r="O17" s="311">
        <f t="shared" si="15"/>
        <v>159304.38163115107</v>
      </c>
      <c r="P17" s="22"/>
      <c r="Q17" s="23"/>
      <c r="R17" s="118"/>
      <c r="S17" s="117"/>
      <c r="T17" s="117"/>
      <c r="U17" s="117"/>
      <c r="V17" s="117"/>
      <c r="X17" s="381">
        <f t="shared" si="14"/>
        <v>16.380000000000003</v>
      </c>
    </row>
    <row r="18" spans="1:25" ht="19.899999999999999" customHeight="1" x14ac:dyDescent="0.25">
      <c r="A18" s="219" t="s">
        <v>191</v>
      </c>
      <c r="B18" s="317" t="s">
        <v>154</v>
      </c>
      <c r="C18" s="265">
        <v>750</v>
      </c>
      <c r="D18" s="334">
        <v>6.5</v>
      </c>
      <c r="E18" s="334">
        <v>6.6</v>
      </c>
      <c r="F18" s="284">
        <f t="shared" si="9"/>
        <v>6.3352826510721254</v>
      </c>
      <c r="G18" s="284">
        <f t="shared" si="10"/>
        <v>6.4390243902439028</v>
      </c>
      <c r="H18" s="285">
        <f t="shared" si="11"/>
        <v>6.3698632307960512</v>
      </c>
      <c r="I18" s="285">
        <f t="shared" si="8"/>
        <v>11.593151080048814</v>
      </c>
      <c r="J18" s="290">
        <f t="shared" si="16"/>
        <v>15.457534773398418</v>
      </c>
      <c r="K18" s="285">
        <f t="shared" si="12"/>
        <v>278.23562592117156</v>
      </c>
      <c r="L18" s="353">
        <f t="shared" si="13"/>
        <v>278.23562592117156</v>
      </c>
      <c r="M18" s="291">
        <v>40807</v>
      </c>
      <c r="N18" s="287">
        <v>1000</v>
      </c>
      <c r="O18" s="311">
        <f t="shared" si="15"/>
        <v>113539.61186965248</v>
      </c>
      <c r="P18" s="421" t="s">
        <v>77</v>
      </c>
      <c r="Q18" s="422"/>
      <c r="R18" s="458" t="s">
        <v>78</v>
      </c>
      <c r="S18" s="422"/>
      <c r="T18" s="117" t="s">
        <v>79</v>
      </c>
      <c r="U18" s="117">
        <v>100</v>
      </c>
      <c r="V18" s="117">
        <v>100</v>
      </c>
      <c r="X18" s="381">
        <f t="shared" si="14"/>
        <v>11.830000000000002</v>
      </c>
    </row>
    <row r="19" spans="1:25" ht="19.899999999999999" customHeight="1" x14ac:dyDescent="0.25">
      <c r="A19" s="219" t="s">
        <v>192</v>
      </c>
      <c r="B19" s="317" t="s">
        <v>156</v>
      </c>
      <c r="C19" s="265">
        <v>810</v>
      </c>
      <c r="D19" s="334">
        <v>30</v>
      </c>
      <c r="E19" s="334">
        <v>29.7</v>
      </c>
      <c r="F19" s="376">
        <f t="shared" si="9"/>
        <v>29.239766081871348</v>
      </c>
      <c r="G19" s="376">
        <f t="shared" si="10"/>
        <v>28.975609756097562</v>
      </c>
      <c r="H19" s="285">
        <f t="shared" si="11"/>
        <v>29.151713973280089</v>
      </c>
      <c r="I19" s="285">
        <f t="shared" si="8"/>
        <v>53.05611943136978</v>
      </c>
      <c r="J19" s="290">
        <f t="shared" si="16"/>
        <v>65.501382014036764</v>
      </c>
      <c r="K19" s="285">
        <f t="shared" si="12"/>
        <v>1273.3468663528747</v>
      </c>
      <c r="L19" s="353">
        <f t="shared" si="13"/>
        <v>1273.3468663528747</v>
      </c>
      <c r="M19" s="291">
        <v>41587</v>
      </c>
      <c r="N19" s="287">
        <v>1000</v>
      </c>
      <c r="O19" s="311">
        <f t="shared" si="15"/>
        <v>529546.76131016994</v>
      </c>
      <c r="P19" s="427"/>
      <c r="Q19" s="428"/>
      <c r="R19" s="428"/>
      <c r="S19" s="428"/>
      <c r="T19" s="428"/>
      <c r="U19" s="428"/>
      <c r="V19" s="428"/>
      <c r="X19" s="381">
        <f t="shared" si="14"/>
        <v>54.600000000000009</v>
      </c>
    </row>
    <row r="20" spans="1:25" ht="19.899999999999999" customHeight="1" x14ac:dyDescent="0.25">
      <c r="A20" s="219" t="s">
        <v>193</v>
      </c>
      <c r="B20" s="317" t="s">
        <v>74</v>
      </c>
      <c r="C20" s="265">
        <v>840</v>
      </c>
      <c r="D20" s="334">
        <v>54</v>
      </c>
      <c r="E20" s="334">
        <v>53.5</v>
      </c>
      <c r="F20" s="376">
        <f t="shared" si="9"/>
        <v>52.631578947368425</v>
      </c>
      <c r="G20" s="376">
        <f t="shared" si="10"/>
        <v>52.195121951219512</v>
      </c>
      <c r="H20" s="285">
        <f t="shared" si="11"/>
        <v>52.486093281985454</v>
      </c>
      <c r="I20" s="285">
        <f t="shared" si="8"/>
        <v>95.524689773213552</v>
      </c>
      <c r="J20" s="290">
        <f t="shared" si="16"/>
        <v>113.71986877763518</v>
      </c>
      <c r="K20" s="285">
        <f t="shared" si="12"/>
        <v>2292.5925545571254</v>
      </c>
      <c r="L20" s="353">
        <f t="shared" si="13"/>
        <v>2292.5925545571254</v>
      </c>
      <c r="M20" s="291">
        <v>41587</v>
      </c>
      <c r="N20" s="287">
        <v>1000</v>
      </c>
      <c r="O20" s="311">
        <f t="shared" si="15"/>
        <v>953420.46566367173</v>
      </c>
      <c r="P20" s="119"/>
      <c r="Q20" s="120"/>
      <c r="R20" s="120"/>
      <c r="S20" s="120"/>
      <c r="T20" s="120"/>
      <c r="U20" s="120"/>
      <c r="V20" s="120"/>
      <c r="X20" s="381">
        <f t="shared" si="14"/>
        <v>98.280000000000015</v>
      </c>
    </row>
    <row r="21" spans="1:25" ht="19.899999999999999" customHeight="1" thickBot="1" x14ac:dyDescent="0.3">
      <c r="A21" s="219" t="s">
        <v>194</v>
      </c>
      <c r="B21" s="318" t="s">
        <v>155</v>
      </c>
      <c r="C21" s="266">
        <v>840</v>
      </c>
      <c r="D21" s="334">
        <v>1</v>
      </c>
      <c r="E21" s="334">
        <v>1</v>
      </c>
      <c r="F21" s="289">
        <f t="shared" si="9"/>
        <v>0.97465886939571156</v>
      </c>
      <c r="G21" s="289">
        <f t="shared" si="10"/>
        <v>0.97560975609756095</v>
      </c>
      <c r="H21" s="290">
        <f t="shared" si="11"/>
        <v>0.97497583162966139</v>
      </c>
      <c r="I21" s="285">
        <f t="shared" si="8"/>
        <v>1.7744560135659844</v>
      </c>
      <c r="J21" s="290">
        <f t="shared" si="16"/>
        <v>2.1124476351976007</v>
      </c>
      <c r="K21" s="290">
        <f t="shared" si="12"/>
        <v>42.586944325583623</v>
      </c>
      <c r="L21" s="353">
        <f t="shared" si="13"/>
        <v>42.586944325583623</v>
      </c>
      <c r="M21" s="292">
        <v>29555</v>
      </c>
      <c r="N21" s="286">
        <v>1000</v>
      </c>
      <c r="O21" s="312">
        <f>L21*M21*N21/100000</f>
        <v>12586.571395426239</v>
      </c>
      <c r="P21" s="119"/>
      <c r="Q21" s="120"/>
      <c r="R21" s="120"/>
      <c r="S21" s="120"/>
      <c r="T21" s="120"/>
      <c r="U21" s="120"/>
      <c r="V21" s="120"/>
      <c r="X21" s="381">
        <f t="shared" si="14"/>
        <v>1.8200000000000003</v>
      </c>
    </row>
    <row r="22" spans="1:25" ht="19.899999999999999" hidden="1" customHeight="1" thickBot="1" x14ac:dyDescent="0.3">
      <c r="A22" s="223" t="s">
        <v>201</v>
      </c>
      <c r="B22" s="319" t="s">
        <v>205</v>
      </c>
      <c r="C22" s="293"/>
      <c r="D22" s="305">
        <v>0</v>
      </c>
      <c r="E22" s="305">
        <v>0</v>
      </c>
      <c r="F22" s="306">
        <f t="shared" si="9"/>
        <v>0</v>
      </c>
      <c r="G22" s="306">
        <f t="shared" si="10"/>
        <v>0</v>
      </c>
      <c r="H22" s="306">
        <f t="shared" si="11"/>
        <v>0</v>
      </c>
      <c r="I22" s="359">
        <f>$L$11*H22%/24</f>
        <v>0</v>
      </c>
      <c r="J22" s="307"/>
      <c r="K22" s="308">
        <f>I22*24</f>
        <v>0</v>
      </c>
      <c r="L22" s="354">
        <f t="shared" si="13"/>
        <v>0</v>
      </c>
      <c r="M22" s="294"/>
      <c r="N22" s="295"/>
      <c r="O22" s="296"/>
      <c r="P22" s="119"/>
      <c r="Q22" s="120"/>
      <c r="R22" s="120"/>
      <c r="S22" s="120"/>
      <c r="T22" s="120"/>
      <c r="U22" s="120"/>
      <c r="V22" s="120"/>
    </row>
    <row r="23" spans="1:25" ht="18.75" thickBot="1" x14ac:dyDescent="0.3">
      <c r="A23" s="254"/>
      <c r="B23" s="297" t="s">
        <v>211</v>
      </c>
      <c r="C23" s="298" t="s">
        <v>169</v>
      </c>
      <c r="D23" s="335">
        <f>SUM(D14:D22)</f>
        <v>102.6</v>
      </c>
      <c r="E23" s="335">
        <f t="shared" ref="E23:F23" si="17">SUM(E14:E22)</f>
        <v>102.5</v>
      </c>
      <c r="F23" s="336">
        <f t="shared" si="17"/>
        <v>100</v>
      </c>
      <c r="G23" s="336">
        <f>SUM(G14:G22)</f>
        <v>100</v>
      </c>
      <c r="H23" s="336">
        <f>SUM(H14:H22)</f>
        <v>100.00000000000001</v>
      </c>
      <c r="I23" s="335">
        <f>SUM(I14:I22)</f>
        <v>182.00000000000009</v>
      </c>
      <c r="J23" s="336"/>
      <c r="K23" s="347">
        <f t="shared" ref="K23:L23" si="18">SUM(K14:K22)</f>
        <v>4368.0000000000018</v>
      </c>
      <c r="L23" s="358">
        <f t="shared" si="18"/>
        <v>4368.0000000000018</v>
      </c>
      <c r="M23" s="299"/>
      <c r="N23" s="299"/>
      <c r="O23" s="300">
        <f t="shared" ref="O23" si="19">SUM(O14:O21)</f>
        <v>1792284.2475034858</v>
      </c>
      <c r="P23" s="120"/>
      <c r="Q23" s="120"/>
      <c r="R23" s="120"/>
      <c r="S23" s="120"/>
      <c r="T23" s="120"/>
      <c r="U23" s="120"/>
      <c r="V23" s="120"/>
    </row>
    <row r="24" spans="1:25" ht="18.600000000000001" customHeight="1" thickBot="1" x14ac:dyDescent="0.3">
      <c r="A24" s="255"/>
      <c r="B24" s="338" t="s">
        <v>212</v>
      </c>
      <c r="C24" s="339" t="s">
        <v>172</v>
      </c>
      <c r="D24" s="340">
        <f>D11-D23</f>
        <v>0</v>
      </c>
      <c r="E24" s="341">
        <f>E11-E23</f>
        <v>0</v>
      </c>
      <c r="F24" s="342"/>
      <c r="G24" s="342"/>
      <c r="H24" s="341"/>
      <c r="I24" s="343">
        <f>I11-I23</f>
        <v>0</v>
      </c>
      <c r="J24" s="250"/>
      <c r="K24" s="345"/>
      <c r="L24" s="346"/>
      <c r="M24" s="251"/>
      <c r="N24" s="251"/>
      <c r="O24" s="252"/>
      <c r="P24" s="120"/>
      <c r="Q24" s="120"/>
      <c r="R24" s="120"/>
      <c r="S24" s="120"/>
      <c r="T24" s="120"/>
      <c r="U24" s="120"/>
      <c r="V24" s="120"/>
    </row>
    <row r="25" spans="1:25" hidden="1" x14ac:dyDescent="0.25">
      <c r="A25" s="222"/>
      <c r="B25" s="321" t="s">
        <v>47</v>
      </c>
      <c r="C25" s="259" t="s">
        <v>173</v>
      </c>
      <c r="D25" s="260">
        <f>D11-(D23+D24)</f>
        <v>0</v>
      </c>
      <c r="E25" s="260">
        <f t="shared" ref="E25:I25" si="20">E11-(E23+E24)</f>
        <v>0</v>
      </c>
      <c r="F25" s="260"/>
      <c r="G25" s="260"/>
      <c r="H25" s="260"/>
      <c r="I25" s="260">
        <f t="shared" si="20"/>
        <v>0</v>
      </c>
      <c r="J25" s="260"/>
      <c r="K25" s="260">
        <f t="shared" ref="K25:L25" si="21">K23-K11</f>
        <v>0</v>
      </c>
      <c r="L25" s="260">
        <f t="shared" si="21"/>
        <v>0</v>
      </c>
      <c r="M25" s="261"/>
      <c r="N25" s="261"/>
      <c r="O25" s="261"/>
    </row>
    <row r="26" spans="1:25" ht="15.75" hidden="1" thickBot="1" x14ac:dyDescent="0.3">
      <c r="A26" s="323"/>
      <c r="B26" s="324"/>
      <c r="C26" s="325"/>
      <c r="D26" s="326"/>
      <c r="E26" s="326"/>
      <c r="F26" s="326"/>
      <c r="G26" s="326"/>
      <c r="H26" s="326"/>
      <c r="I26" s="327"/>
      <c r="J26" s="326"/>
      <c r="K26" s="326"/>
      <c r="L26" s="326"/>
      <c r="M26" s="328"/>
      <c r="N26" s="328"/>
      <c r="O26" s="328"/>
    </row>
    <row r="27" spans="1:25" ht="18" x14ac:dyDescent="0.25">
      <c r="A27" s="329"/>
      <c r="B27" s="471" t="s">
        <v>196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2"/>
    </row>
    <row r="28" spans="1:25" ht="20.25" x14ac:dyDescent="0.3">
      <c r="A28" s="330"/>
      <c r="B28" s="469" t="s">
        <v>213</v>
      </c>
      <c r="C28" s="469"/>
      <c r="D28" s="469"/>
      <c r="E28" s="469"/>
      <c r="F28" s="469"/>
      <c r="G28" s="262" t="s">
        <v>168</v>
      </c>
      <c r="H28" s="473">
        <f>O23</f>
        <v>1792284.2475034858</v>
      </c>
      <c r="I28" s="473"/>
      <c r="J28" s="473"/>
      <c r="K28" s="473"/>
      <c r="L28" s="473"/>
      <c r="M28" s="473"/>
      <c r="N28" s="473"/>
      <c r="O28" s="474"/>
      <c r="X28">
        <f>H28/100</f>
        <v>17922.842475034857</v>
      </c>
      <c r="Y28" t="s">
        <v>218</v>
      </c>
    </row>
    <row r="29" spans="1:25" ht="21" thickBot="1" x14ac:dyDescent="0.35">
      <c r="A29" s="330"/>
      <c r="B29" s="469" t="s">
        <v>214</v>
      </c>
      <c r="C29" s="469"/>
      <c r="D29" s="469"/>
      <c r="E29" s="469"/>
      <c r="F29" s="469"/>
      <c r="G29" s="262" t="s">
        <v>169</v>
      </c>
      <c r="H29" s="473">
        <f>O9</f>
        <v>1290962.4000000001</v>
      </c>
      <c r="I29" s="473"/>
      <c r="J29" s="473"/>
      <c r="K29" s="473"/>
      <c r="L29" s="473"/>
      <c r="M29" s="473"/>
      <c r="N29" s="473"/>
      <c r="O29" s="474"/>
      <c r="X29">
        <f t="shared" ref="X29:X31" si="22">H29/100</f>
        <v>12909.624000000002</v>
      </c>
      <c r="Y29" t="s">
        <v>218</v>
      </c>
    </row>
    <row r="30" spans="1:25" ht="21" thickBot="1" x14ac:dyDescent="0.35">
      <c r="A30" s="330"/>
      <c r="B30" s="469" t="s">
        <v>215</v>
      </c>
      <c r="C30" s="469"/>
      <c r="D30" s="469"/>
      <c r="E30" s="469"/>
      <c r="F30" s="469"/>
      <c r="G30" s="263" t="s">
        <v>172</v>
      </c>
      <c r="H30" s="463">
        <f>X30*100</f>
        <v>9000</v>
      </c>
      <c r="I30" s="463"/>
      <c r="J30" s="463"/>
      <c r="K30" s="463"/>
      <c r="L30" s="463"/>
      <c r="M30" s="463"/>
      <c r="N30" s="463"/>
      <c r="O30" s="464"/>
      <c r="X30" s="377">
        <v>90</v>
      </c>
      <c r="Y30" t="s">
        <v>218</v>
      </c>
    </row>
    <row r="31" spans="1:25" ht="28.5" thickBot="1" x14ac:dyDescent="0.45">
      <c r="A31" s="331"/>
      <c r="B31" s="470" t="s">
        <v>54</v>
      </c>
      <c r="C31" s="470"/>
      <c r="D31" s="470"/>
      <c r="E31" s="470"/>
      <c r="F31" s="470"/>
      <c r="G31" s="322" t="s">
        <v>173</v>
      </c>
      <c r="H31" s="465">
        <f>H28-H29-H30</f>
        <v>492321.84750348562</v>
      </c>
      <c r="I31" s="466"/>
      <c r="J31" s="466"/>
      <c r="K31" s="466"/>
      <c r="L31" s="466"/>
      <c r="M31" s="466"/>
      <c r="N31" s="466"/>
      <c r="O31" s="467"/>
      <c r="W31" s="361" t="s">
        <v>209</v>
      </c>
      <c r="X31">
        <f t="shared" si="22"/>
        <v>4923.2184750348561</v>
      </c>
      <c r="Y31" t="s">
        <v>218</v>
      </c>
    </row>
    <row r="34" spans="2:5" ht="18.75" x14ac:dyDescent="0.3">
      <c r="B34" s="380" t="s">
        <v>221</v>
      </c>
    </row>
    <row r="35" spans="2:5" ht="18.75" x14ac:dyDescent="0.3">
      <c r="B35" s="382" t="s">
        <v>69</v>
      </c>
      <c r="C35" s="383"/>
      <c r="D35" s="384">
        <v>0.01</v>
      </c>
      <c r="E35" s="383" t="s">
        <v>224</v>
      </c>
    </row>
    <row r="36" spans="2:5" ht="18.75" x14ac:dyDescent="0.3">
      <c r="B36" s="382" t="s">
        <v>222</v>
      </c>
      <c r="C36" s="383"/>
      <c r="D36" s="384">
        <v>0.105</v>
      </c>
      <c r="E36" s="383" t="s">
        <v>224</v>
      </c>
    </row>
    <row r="37" spans="2:5" ht="18.75" x14ac:dyDescent="0.3">
      <c r="B37" s="382" t="s">
        <v>220</v>
      </c>
      <c r="C37" s="383"/>
      <c r="D37" s="384">
        <v>0.83499999999999996</v>
      </c>
      <c r="E37" s="383" t="s">
        <v>225</v>
      </c>
    </row>
    <row r="38" spans="2:5" ht="18.75" x14ac:dyDescent="0.3">
      <c r="B38" s="382" t="s">
        <v>223</v>
      </c>
      <c r="C38" s="383"/>
      <c r="D38" s="384">
        <v>0.35</v>
      </c>
      <c r="E38" s="383" t="s">
        <v>224</v>
      </c>
    </row>
  </sheetData>
  <mergeCells count="35">
    <mergeCell ref="B2:O2"/>
    <mergeCell ref="I3:K3"/>
    <mergeCell ref="P3:Q3"/>
    <mergeCell ref="R3:T3"/>
    <mergeCell ref="U3:V3"/>
    <mergeCell ref="P5:Q5"/>
    <mergeCell ref="R5:S5"/>
    <mergeCell ref="P6:Q6"/>
    <mergeCell ref="R6:S6"/>
    <mergeCell ref="P4:Q4"/>
    <mergeCell ref="R4:S4"/>
    <mergeCell ref="P7:Q7"/>
    <mergeCell ref="R7:S7"/>
    <mergeCell ref="P8:Q8"/>
    <mergeCell ref="R8:S8"/>
    <mergeCell ref="P9:Q9"/>
    <mergeCell ref="R9:S9"/>
    <mergeCell ref="P10:Q10"/>
    <mergeCell ref="R10:S10"/>
    <mergeCell ref="B12:B13"/>
    <mergeCell ref="I12:K12"/>
    <mergeCell ref="P12:Q12"/>
    <mergeCell ref="R12:S12"/>
    <mergeCell ref="P18:Q18"/>
    <mergeCell ref="R18:S18"/>
    <mergeCell ref="B30:F30"/>
    <mergeCell ref="H30:O30"/>
    <mergeCell ref="B31:F31"/>
    <mergeCell ref="H31:O31"/>
    <mergeCell ref="P19:V19"/>
    <mergeCell ref="B27:O27"/>
    <mergeCell ref="B28:F28"/>
    <mergeCell ref="H28:O28"/>
    <mergeCell ref="B29:F29"/>
    <mergeCell ref="H29:O29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9"/>
  <sheetViews>
    <sheetView topLeftCell="A12" zoomScale="81" zoomScaleNormal="81" workbookViewId="0">
      <selection activeCell="I10" sqref="I10"/>
    </sheetView>
  </sheetViews>
  <sheetFormatPr defaultRowHeight="15" x14ac:dyDescent="0.25"/>
  <cols>
    <col min="1" max="1" width="3.28515625" customWidth="1"/>
    <col min="2" max="2" width="25.85546875" customWidth="1"/>
    <col min="3" max="3" width="9" hidden="1" customWidth="1"/>
    <col min="4" max="4" width="10" customWidth="1"/>
    <col min="5" max="5" width="9.7109375" customWidth="1"/>
    <col min="6" max="6" width="9.85546875" customWidth="1"/>
    <col min="7" max="7" width="10" customWidth="1"/>
    <col min="8" max="8" width="12.7109375" customWidth="1"/>
    <col min="9" max="9" width="9.85546875" customWidth="1"/>
    <col min="10" max="10" width="9.140625" hidden="1" customWidth="1"/>
    <col min="11" max="11" width="9.5703125" hidden="1" customWidth="1"/>
    <col min="12" max="12" width="12.28515625" customWidth="1"/>
    <col min="13" max="13" width="10.140625" customWidth="1"/>
    <col min="14" max="14" width="12.140625" customWidth="1"/>
    <col min="15" max="15" width="15.710937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2" ht="24" thickBot="1" x14ac:dyDescent="0.3">
      <c r="B2" s="468" t="s">
        <v>206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22" ht="60" x14ac:dyDescent="0.25">
      <c r="B3" s="320" t="s">
        <v>0</v>
      </c>
      <c r="C3" s="178" t="s">
        <v>177</v>
      </c>
      <c r="D3" s="64" t="s">
        <v>60</v>
      </c>
      <c r="E3" s="64" t="s">
        <v>61</v>
      </c>
      <c r="F3" s="64"/>
      <c r="G3" s="64"/>
      <c r="H3" s="64" t="s">
        <v>160</v>
      </c>
      <c r="I3" s="411" t="s">
        <v>158</v>
      </c>
      <c r="J3" s="412"/>
      <c r="K3" s="412"/>
      <c r="L3" s="64" t="s">
        <v>166</v>
      </c>
      <c r="M3" s="64" t="s">
        <v>152</v>
      </c>
      <c r="N3" s="64" t="s">
        <v>207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2" ht="30" x14ac:dyDescent="0.25">
      <c r="B4" s="264"/>
      <c r="C4" s="265" t="s">
        <v>111</v>
      </c>
      <c r="D4" s="266" t="s">
        <v>140</v>
      </c>
      <c r="E4" s="266" t="s">
        <v>140</v>
      </c>
      <c r="F4" s="266"/>
      <c r="G4" s="266"/>
      <c r="H4" s="266" t="s">
        <v>159</v>
      </c>
      <c r="I4" s="266" t="s">
        <v>109</v>
      </c>
      <c r="J4" s="266" t="s">
        <v>178</v>
      </c>
      <c r="K4" s="267" t="s">
        <v>139</v>
      </c>
      <c r="L4" s="266" t="s">
        <v>139</v>
      </c>
      <c r="M4" s="266" t="s">
        <v>146</v>
      </c>
      <c r="N4" s="266" t="s">
        <v>149</v>
      </c>
      <c r="O4" s="268" t="s">
        <v>151</v>
      </c>
      <c r="P4" s="445"/>
      <c r="Q4" s="429"/>
      <c r="R4" s="429" t="s">
        <v>60</v>
      </c>
      <c r="S4" s="429"/>
      <c r="T4" s="156" t="s">
        <v>61</v>
      </c>
      <c r="U4" s="156" t="s">
        <v>60</v>
      </c>
      <c r="V4" s="156" t="s">
        <v>61</v>
      </c>
    </row>
    <row r="5" spans="1:22" ht="15.75" x14ac:dyDescent="0.25">
      <c r="B5" s="269" t="s">
        <v>99</v>
      </c>
      <c r="C5" s="265">
        <v>880</v>
      </c>
      <c r="D5" s="266">
        <v>13.5</v>
      </c>
      <c r="E5" s="266">
        <v>13.5</v>
      </c>
      <c r="F5" s="266"/>
      <c r="G5" s="266"/>
      <c r="H5" s="301">
        <f>(D5*2/3)+(E5*1/3)</f>
        <v>13.5</v>
      </c>
      <c r="I5" s="270">
        <f>182*H5%</f>
        <v>24.57</v>
      </c>
      <c r="J5" s="270">
        <f>I5*1000/C5</f>
        <v>27.920454545454547</v>
      </c>
      <c r="K5" s="349">
        <f>I5*24</f>
        <v>589.68000000000006</v>
      </c>
      <c r="L5" s="355">
        <f>I5*24</f>
        <v>589.68000000000006</v>
      </c>
      <c r="M5" s="352">
        <v>29555</v>
      </c>
      <c r="N5" s="271">
        <v>1000</v>
      </c>
      <c r="O5" s="309">
        <f>L5*M5*N5/100000</f>
        <v>174279.92400000003</v>
      </c>
      <c r="P5" s="425" t="s">
        <v>65</v>
      </c>
      <c r="Q5" s="426"/>
      <c r="R5" s="428"/>
      <c r="S5" s="428"/>
      <c r="T5" s="155"/>
      <c r="U5" s="155"/>
      <c r="V5" s="155"/>
    </row>
    <row r="6" spans="1:22" ht="15.75" x14ac:dyDescent="0.25">
      <c r="B6" s="272" t="s">
        <v>100</v>
      </c>
      <c r="C6" s="273">
        <v>965</v>
      </c>
      <c r="D6" s="274">
        <v>10.6</v>
      </c>
      <c r="E6" s="274">
        <v>10.6</v>
      </c>
      <c r="F6" s="274"/>
      <c r="G6" s="274"/>
      <c r="H6" s="301">
        <f>(D6*2/3)+(E6*1/3)</f>
        <v>10.6</v>
      </c>
      <c r="I6" s="270">
        <f t="shared" ref="I6:I8" si="0">182*H6%</f>
        <v>19.291999999999998</v>
      </c>
      <c r="J6" s="270">
        <f t="shared" ref="J6:J8" si="1">I6*1000/C6</f>
        <v>19.991709844559583</v>
      </c>
      <c r="K6" s="349">
        <f t="shared" ref="K6:K8" si="2">I6*24</f>
        <v>463.00799999999992</v>
      </c>
      <c r="L6" s="355">
        <f>I6*24</f>
        <v>463.00799999999992</v>
      </c>
      <c r="M6" s="352">
        <v>29555</v>
      </c>
      <c r="N6" s="271">
        <v>1000</v>
      </c>
      <c r="O6" s="309">
        <f t="shared" ref="O6:O8" si="3">L6*M6*N6/100000</f>
        <v>136842.01439999999</v>
      </c>
      <c r="P6" s="425" t="s">
        <v>69</v>
      </c>
      <c r="Q6" s="426"/>
      <c r="R6" s="428"/>
      <c r="S6" s="428"/>
      <c r="T6" s="155"/>
      <c r="U6" s="155"/>
      <c r="V6" s="155"/>
    </row>
    <row r="7" spans="1:22" ht="15.75" x14ac:dyDescent="0.25">
      <c r="B7" s="269" t="s">
        <v>93</v>
      </c>
      <c r="C7" s="265">
        <v>920</v>
      </c>
      <c r="D7" s="266">
        <v>61.6</v>
      </c>
      <c r="E7" s="266">
        <v>61.6</v>
      </c>
      <c r="F7" s="266"/>
      <c r="G7" s="266"/>
      <c r="H7" s="301">
        <f>(D7*2/3)+(E7*1/3)</f>
        <v>61.600000000000009</v>
      </c>
      <c r="I7" s="270">
        <f t="shared" si="0"/>
        <v>112.11200000000002</v>
      </c>
      <c r="J7" s="270">
        <f t="shared" si="1"/>
        <v>121.86086956521743</v>
      </c>
      <c r="K7" s="349">
        <f t="shared" si="2"/>
        <v>2690.6880000000006</v>
      </c>
      <c r="L7" s="355">
        <f>I7*24</f>
        <v>2690.6880000000006</v>
      </c>
      <c r="M7" s="352">
        <v>29555</v>
      </c>
      <c r="N7" s="271">
        <v>1000</v>
      </c>
      <c r="O7" s="309">
        <f t="shared" si="3"/>
        <v>795232.83840000012</v>
      </c>
      <c r="P7" s="425" t="s">
        <v>70</v>
      </c>
      <c r="Q7" s="426"/>
      <c r="R7" s="428"/>
      <c r="S7" s="428"/>
      <c r="T7" s="155"/>
      <c r="U7" s="155"/>
      <c r="V7" s="155"/>
    </row>
    <row r="8" spans="1:22" ht="15.75" x14ac:dyDescent="0.25">
      <c r="B8" s="269" t="s">
        <v>138</v>
      </c>
      <c r="C8" s="265">
        <v>870</v>
      </c>
      <c r="D8" s="266">
        <v>14.3</v>
      </c>
      <c r="E8" s="266">
        <v>14.3</v>
      </c>
      <c r="F8" s="266"/>
      <c r="G8" s="266"/>
      <c r="H8" s="301">
        <f>(D8*2/3)+(E8*1/3)</f>
        <v>14.3</v>
      </c>
      <c r="I8" s="270">
        <f t="shared" si="0"/>
        <v>26.026000000000003</v>
      </c>
      <c r="J8" s="270">
        <f t="shared" si="1"/>
        <v>29.914942528735637</v>
      </c>
      <c r="K8" s="349">
        <f t="shared" si="2"/>
        <v>624.62400000000002</v>
      </c>
      <c r="L8" s="355">
        <f>I8*24</f>
        <v>624.62400000000002</v>
      </c>
      <c r="M8" s="352">
        <v>29555</v>
      </c>
      <c r="N8" s="271">
        <v>1000</v>
      </c>
      <c r="O8" s="309">
        <f t="shared" si="3"/>
        <v>184607.6232</v>
      </c>
      <c r="P8" s="427" t="s">
        <v>71</v>
      </c>
      <c r="Q8" s="428"/>
      <c r="R8" s="428"/>
      <c r="S8" s="428"/>
      <c r="T8" s="155"/>
      <c r="U8" s="155"/>
      <c r="V8" s="155"/>
    </row>
    <row r="9" spans="1:22" ht="15.75" x14ac:dyDescent="0.25">
      <c r="B9" s="370" t="s">
        <v>208</v>
      </c>
      <c r="C9" s="371"/>
      <c r="D9" s="292">
        <f>SUM(D5:D8)</f>
        <v>100</v>
      </c>
      <c r="E9" s="292">
        <f t="shared" ref="E9:J9" si="4">SUM(E5:E8)</f>
        <v>100</v>
      </c>
      <c r="F9" s="292"/>
      <c r="G9" s="292"/>
      <c r="H9" s="372">
        <f t="shared" si="4"/>
        <v>100.00000000000001</v>
      </c>
      <c r="I9" s="292">
        <f t="shared" si="4"/>
        <v>182.00000000000003</v>
      </c>
      <c r="J9" s="373">
        <f t="shared" si="4"/>
        <v>199.68797648396719</v>
      </c>
      <c r="K9" s="374">
        <f>SUM(K5:K8)</f>
        <v>4368.0000000000009</v>
      </c>
      <c r="L9" s="375">
        <f t="shared" ref="L9" si="5">SUM(L5:L8)</f>
        <v>4368.0000000000009</v>
      </c>
      <c r="M9" s="277"/>
      <c r="N9" s="277"/>
      <c r="O9" s="310">
        <f t="shared" ref="O9" si="6">SUM(O5:O8)</f>
        <v>1290962.4000000001</v>
      </c>
      <c r="P9" s="427" t="s">
        <v>72</v>
      </c>
      <c r="Q9" s="428"/>
      <c r="R9" s="428"/>
      <c r="S9" s="428"/>
      <c r="T9" s="155"/>
      <c r="U9" s="155"/>
      <c r="V9" s="155"/>
    </row>
    <row r="10" spans="1:22" ht="32.25" thickBot="1" x14ac:dyDescent="0.3">
      <c r="B10" s="313" t="s">
        <v>217</v>
      </c>
      <c r="C10" s="278"/>
      <c r="D10" s="211">
        <v>2.6</v>
      </c>
      <c r="E10" s="211">
        <v>2.4500000000000002</v>
      </c>
      <c r="F10" s="256"/>
      <c r="G10" s="256"/>
      <c r="H10" s="303">
        <f>(D10*2/3)+(E10*1/3)</f>
        <v>2.5500000000000003</v>
      </c>
      <c r="I10" s="212">
        <v>0</v>
      </c>
      <c r="J10" s="279">
        <f>I10*1000*22.4/2.01</f>
        <v>0</v>
      </c>
      <c r="K10" s="351">
        <f>I10*24</f>
        <v>0</v>
      </c>
      <c r="L10" s="303">
        <v>0</v>
      </c>
      <c r="M10" s="280"/>
      <c r="N10" s="280"/>
      <c r="O10" s="281"/>
      <c r="P10" s="423" t="s">
        <v>73</v>
      </c>
      <c r="Q10" s="424"/>
      <c r="R10" s="453"/>
      <c r="S10" s="424"/>
      <c r="T10" s="21"/>
      <c r="U10" s="21"/>
      <c r="V10" s="21"/>
    </row>
    <row r="11" spans="1:22" ht="28.9" customHeight="1" thickBot="1" x14ac:dyDescent="0.3">
      <c r="B11" s="314" t="s">
        <v>210</v>
      </c>
      <c r="C11" s="282" t="s">
        <v>168</v>
      </c>
      <c r="D11" s="253">
        <f>D9+D10</f>
        <v>102.6</v>
      </c>
      <c r="E11" s="253">
        <f t="shared" ref="E11:L11" si="7">E9+E10</f>
        <v>102.45</v>
      </c>
      <c r="F11" s="197"/>
      <c r="G11" s="197"/>
      <c r="H11" s="304">
        <f t="shared" si="7"/>
        <v>102.55000000000001</v>
      </c>
      <c r="I11" s="253">
        <f t="shared" si="7"/>
        <v>182.00000000000003</v>
      </c>
      <c r="J11" s="198"/>
      <c r="K11" s="344">
        <f>K9+K10</f>
        <v>4368.0000000000009</v>
      </c>
      <c r="L11" s="357">
        <f t="shared" si="7"/>
        <v>4368.0000000000009</v>
      </c>
      <c r="M11" s="205"/>
      <c r="N11" s="205"/>
      <c r="O11" s="206"/>
      <c r="P11" s="162"/>
      <c r="Q11" s="158"/>
      <c r="R11" s="157"/>
      <c r="S11" s="158"/>
      <c r="T11" s="21"/>
      <c r="U11" s="21"/>
      <c r="V11" s="21"/>
    </row>
    <row r="12" spans="1:22" ht="60.75" thickBot="1" x14ac:dyDescent="0.3">
      <c r="B12" s="475" t="s">
        <v>21</v>
      </c>
      <c r="C12" s="130" t="s">
        <v>177</v>
      </c>
      <c r="D12" s="130" t="s">
        <v>60</v>
      </c>
      <c r="E12" s="130" t="s">
        <v>61</v>
      </c>
      <c r="F12" s="130" t="s">
        <v>202</v>
      </c>
      <c r="G12" s="130" t="s">
        <v>203</v>
      </c>
      <c r="H12" s="130" t="s">
        <v>204</v>
      </c>
      <c r="I12" s="411" t="s">
        <v>162</v>
      </c>
      <c r="J12" s="412"/>
      <c r="K12" s="412"/>
      <c r="L12" s="130" t="s">
        <v>157</v>
      </c>
      <c r="M12" s="130" t="s">
        <v>152</v>
      </c>
      <c r="N12" s="130" t="s">
        <v>216</v>
      </c>
      <c r="O12" s="132" t="s">
        <v>163</v>
      </c>
      <c r="P12" s="454" t="s">
        <v>75</v>
      </c>
      <c r="Q12" s="455"/>
      <c r="R12" s="456">
        <v>1</v>
      </c>
      <c r="S12" s="457"/>
      <c r="T12" s="161">
        <v>1</v>
      </c>
      <c r="U12" s="161">
        <v>1</v>
      </c>
      <c r="V12" s="161">
        <v>1</v>
      </c>
    </row>
    <row r="13" spans="1:22" ht="30.75" thickBot="1" x14ac:dyDescent="0.3">
      <c r="B13" s="476"/>
      <c r="C13" s="110" t="s">
        <v>111</v>
      </c>
      <c r="D13" s="295" t="s">
        <v>140</v>
      </c>
      <c r="E13" s="295" t="s">
        <v>140</v>
      </c>
      <c r="F13" s="295" t="s">
        <v>140</v>
      </c>
      <c r="G13" s="295" t="s">
        <v>140</v>
      </c>
      <c r="H13" s="295" t="s">
        <v>159</v>
      </c>
      <c r="I13" s="257" t="s">
        <v>109</v>
      </c>
      <c r="J13" s="257" t="s">
        <v>178</v>
      </c>
      <c r="K13" s="258" t="s">
        <v>139</v>
      </c>
      <c r="L13" s="295" t="s">
        <v>139</v>
      </c>
      <c r="M13" s="295" t="s">
        <v>146</v>
      </c>
      <c r="N13" s="295" t="s">
        <v>149</v>
      </c>
      <c r="O13" s="337" t="s">
        <v>151</v>
      </c>
      <c r="P13" s="22"/>
      <c r="Q13" s="23"/>
      <c r="R13" s="160"/>
      <c r="S13" s="161"/>
      <c r="T13" s="161"/>
      <c r="U13" s="161"/>
      <c r="V13" s="161"/>
    </row>
    <row r="14" spans="1:22" ht="16.5" thickBot="1" x14ac:dyDescent="0.3">
      <c r="A14" s="219" t="s">
        <v>32</v>
      </c>
      <c r="B14" s="315" t="s">
        <v>65</v>
      </c>
      <c r="C14" s="283"/>
      <c r="D14" s="332">
        <v>0.44</v>
      </c>
      <c r="E14" s="332">
        <v>0.44</v>
      </c>
      <c r="F14" s="284">
        <f>D14*100/$D$23</f>
        <v>0.42884990253411309</v>
      </c>
      <c r="G14" s="284">
        <f>E14*100/$E$23</f>
        <v>0.42947779404587605</v>
      </c>
      <c r="H14" s="285">
        <f>(F14*2/3)+(G14*1/3)</f>
        <v>0.42905919970470074</v>
      </c>
      <c r="I14" s="285">
        <f>$L$11*H14%/24</f>
        <v>0.78088774346255552</v>
      </c>
      <c r="J14" s="285"/>
      <c r="K14" s="285">
        <f>I14*24</f>
        <v>18.741305843101333</v>
      </c>
      <c r="L14" s="353">
        <f>I14*24</f>
        <v>18.741305843101333</v>
      </c>
      <c r="M14" s="286">
        <v>0</v>
      </c>
      <c r="N14" s="287">
        <v>1000</v>
      </c>
      <c r="O14" s="288">
        <f>L14*M14*N14</f>
        <v>0</v>
      </c>
      <c r="P14" s="22"/>
      <c r="Q14" s="23"/>
      <c r="R14" s="160"/>
      <c r="S14" s="161"/>
      <c r="T14" s="161"/>
      <c r="U14" s="161"/>
      <c r="V14" s="161"/>
    </row>
    <row r="15" spans="1:22" ht="16.5" thickBot="1" x14ac:dyDescent="0.3">
      <c r="A15" s="219" t="s">
        <v>188</v>
      </c>
      <c r="B15" s="316" t="s">
        <v>69</v>
      </c>
      <c r="C15" s="280"/>
      <c r="D15" s="333">
        <v>0.16</v>
      </c>
      <c r="E15" s="333">
        <v>0.24</v>
      </c>
      <c r="F15" s="376">
        <f t="shared" ref="F15:F22" si="8">D15*100/$D$23</f>
        <v>0.15594541910331386</v>
      </c>
      <c r="G15" s="376">
        <f t="shared" ref="G15:G22" si="9">E15*100/$E$23</f>
        <v>0.23426061493411421</v>
      </c>
      <c r="H15" s="285">
        <f t="shared" ref="H15:H22" si="10">(F15*2/3)+(G15*1/3)</f>
        <v>0.18205048438024729</v>
      </c>
      <c r="I15" s="285">
        <f t="shared" ref="I15:I21" si="11">$L$11*H15%/24</f>
        <v>0.33133188157205012</v>
      </c>
      <c r="J15" s="290"/>
      <c r="K15" s="285">
        <f t="shared" ref="K15:K21" si="12">I15*24</f>
        <v>7.9519651577292034</v>
      </c>
      <c r="L15" s="353">
        <f t="shared" ref="L15:L22" si="13">I15*24</f>
        <v>7.9519651577292034</v>
      </c>
      <c r="M15" s="291">
        <v>13306</v>
      </c>
      <c r="N15" s="287">
        <v>1000</v>
      </c>
      <c r="O15" s="311">
        <f>L15*M15*N15/100000</f>
        <v>1058.0884838874479</v>
      </c>
      <c r="P15" s="22"/>
      <c r="Q15" s="23"/>
      <c r="R15" s="160"/>
      <c r="S15" s="161"/>
      <c r="T15" s="161"/>
      <c r="U15" s="161"/>
      <c r="V15" s="161"/>
    </row>
    <row r="16" spans="1:22" ht="16.5" thickBot="1" x14ac:dyDescent="0.3">
      <c r="A16" s="219" t="s">
        <v>189</v>
      </c>
      <c r="B16" s="316" t="s">
        <v>70</v>
      </c>
      <c r="C16" s="266">
        <v>550</v>
      </c>
      <c r="D16" s="334">
        <v>0.94</v>
      </c>
      <c r="E16" s="334">
        <v>1.1200000000000001</v>
      </c>
      <c r="F16" s="284">
        <f t="shared" si="8"/>
        <v>0.91617933723196887</v>
      </c>
      <c r="G16" s="284">
        <f t="shared" si="9"/>
        <v>1.0932162030258663</v>
      </c>
      <c r="H16" s="285">
        <f t="shared" si="10"/>
        <v>0.97519162582993468</v>
      </c>
      <c r="I16" s="285">
        <f t="shared" si="11"/>
        <v>1.7748487590104816</v>
      </c>
      <c r="J16" s="290">
        <f>I16*1000/C16</f>
        <v>3.2269977436554207</v>
      </c>
      <c r="K16" s="285">
        <f t="shared" si="12"/>
        <v>42.596370216251557</v>
      </c>
      <c r="L16" s="353">
        <f t="shared" si="13"/>
        <v>42.596370216251557</v>
      </c>
      <c r="M16" s="291">
        <v>34951</v>
      </c>
      <c r="N16" s="287">
        <v>1000</v>
      </c>
      <c r="O16" s="311">
        <f t="shared" ref="O16:O20" si="14">L16*M16*N16/100000</f>
        <v>14887.857354282083</v>
      </c>
      <c r="P16" s="22"/>
      <c r="Q16" s="23"/>
      <c r="R16" s="160"/>
      <c r="S16" s="161"/>
      <c r="T16" s="161"/>
      <c r="U16" s="161"/>
      <c r="V16" s="161"/>
    </row>
    <row r="17" spans="1:25" ht="19.899999999999999" customHeight="1" thickBot="1" x14ac:dyDescent="0.3">
      <c r="A17" s="219" t="s">
        <v>190</v>
      </c>
      <c r="B17" s="316" t="s">
        <v>153</v>
      </c>
      <c r="C17" s="266">
        <v>700</v>
      </c>
      <c r="D17" s="334">
        <v>9.35</v>
      </c>
      <c r="E17" s="334">
        <v>9.7200000000000006</v>
      </c>
      <c r="F17" s="376">
        <f t="shared" si="8"/>
        <v>9.1130604288499022</v>
      </c>
      <c r="G17" s="376">
        <f t="shared" si="9"/>
        <v>9.4875549048316259</v>
      </c>
      <c r="H17" s="285">
        <f t="shared" si="10"/>
        <v>9.2378919208438095</v>
      </c>
      <c r="I17" s="285">
        <f t="shared" si="11"/>
        <v>16.812963295935734</v>
      </c>
      <c r="J17" s="290">
        <f t="shared" ref="J17:J21" si="15">I17*1000/C17</f>
        <v>24.018518994193904</v>
      </c>
      <c r="K17" s="285">
        <f t="shared" si="12"/>
        <v>403.51111910245766</v>
      </c>
      <c r="L17" s="353">
        <f t="shared" si="13"/>
        <v>403.51111910245766</v>
      </c>
      <c r="M17" s="291">
        <v>40807</v>
      </c>
      <c r="N17" s="287">
        <v>1000</v>
      </c>
      <c r="O17" s="311">
        <f t="shared" si="14"/>
        <v>164660.78237213989</v>
      </c>
      <c r="P17" s="22"/>
      <c r="Q17" s="23"/>
      <c r="R17" s="160"/>
      <c r="S17" s="161"/>
      <c r="T17" s="161"/>
      <c r="U17" s="161"/>
      <c r="V17" s="161"/>
    </row>
    <row r="18" spans="1:25" ht="19.899999999999999" customHeight="1" x14ac:dyDescent="0.25">
      <c r="A18" s="219" t="s">
        <v>191</v>
      </c>
      <c r="B18" s="317" t="s">
        <v>154</v>
      </c>
      <c r="C18" s="265">
        <v>750</v>
      </c>
      <c r="D18" s="334">
        <v>4.17</v>
      </c>
      <c r="E18" s="334">
        <v>4.33</v>
      </c>
      <c r="F18" s="284">
        <f t="shared" si="8"/>
        <v>4.064327485380117</v>
      </c>
      <c r="G18" s="284">
        <f t="shared" si="9"/>
        <v>4.2264519277696433</v>
      </c>
      <c r="H18" s="285">
        <f t="shared" si="10"/>
        <v>4.1183689661766261</v>
      </c>
      <c r="I18" s="285">
        <f t="shared" si="11"/>
        <v>7.4954315184414613</v>
      </c>
      <c r="J18" s="290">
        <f t="shared" si="15"/>
        <v>9.9939086912552817</v>
      </c>
      <c r="K18" s="285">
        <f t="shared" si="12"/>
        <v>179.89035644259508</v>
      </c>
      <c r="L18" s="353">
        <f t="shared" si="13"/>
        <v>179.89035644259508</v>
      </c>
      <c r="M18" s="291">
        <v>40807</v>
      </c>
      <c r="N18" s="287">
        <v>1000</v>
      </c>
      <c r="O18" s="311">
        <f t="shared" si="14"/>
        <v>73407.857753529766</v>
      </c>
      <c r="P18" s="421" t="s">
        <v>77</v>
      </c>
      <c r="Q18" s="422"/>
      <c r="R18" s="458" t="s">
        <v>78</v>
      </c>
      <c r="S18" s="422"/>
      <c r="T18" s="161" t="s">
        <v>79</v>
      </c>
      <c r="U18" s="161">
        <v>100</v>
      </c>
      <c r="V18" s="161">
        <v>100</v>
      </c>
    </row>
    <row r="19" spans="1:25" ht="19.899999999999999" customHeight="1" x14ac:dyDescent="0.25">
      <c r="A19" s="219" t="s">
        <v>192</v>
      </c>
      <c r="B19" s="317" t="s">
        <v>156</v>
      </c>
      <c r="C19" s="265">
        <v>810</v>
      </c>
      <c r="D19" s="334">
        <v>34.96</v>
      </c>
      <c r="E19" s="334">
        <v>34.89</v>
      </c>
      <c r="F19" s="376">
        <f t="shared" si="8"/>
        <v>34.074074074074076</v>
      </c>
      <c r="G19" s="376">
        <f t="shared" si="9"/>
        <v>34.055636896046849</v>
      </c>
      <c r="H19" s="285">
        <f t="shared" si="10"/>
        <v>34.067928348065003</v>
      </c>
      <c r="I19" s="285">
        <f t="shared" si="11"/>
        <v>62.003629593478315</v>
      </c>
      <c r="J19" s="290">
        <f t="shared" si="15"/>
        <v>76.547690856146062</v>
      </c>
      <c r="K19" s="285">
        <f t="shared" si="12"/>
        <v>1488.0871102434796</v>
      </c>
      <c r="L19" s="353">
        <f t="shared" si="13"/>
        <v>1488.0871102434796</v>
      </c>
      <c r="M19" s="291">
        <v>41587</v>
      </c>
      <c r="N19" s="287">
        <v>1000</v>
      </c>
      <c r="O19" s="311">
        <f t="shared" si="14"/>
        <v>618850.78653695586</v>
      </c>
      <c r="P19" s="427"/>
      <c r="Q19" s="428"/>
      <c r="R19" s="428"/>
      <c r="S19" s="428"/>
      <c r="T19" s="428"/>
      <c r="U19" s="428"/>
      <c r="V19" s="428"/>
    </row>
    <row r="20" spans="1:25" ht="19.899999999999999" customHeight="1" x14ac:dyDescent="0.25">
      <c r="A20" s="219" t="s">
        <v>193</v>
      </c>
      <c r="B20" s="317" t="s">
        <v>74</v>
      </c>
      <c r="C20" s="265">
        <v>840</v>
      </c>
      <c r="D20" s="334">
        <v>51.58</v>
      </c>
      <c r="E20" s="334">
        <v>50.71</v>
      </c>
      <c r="F20" s="376">
        <f t="shared" si="8"/>
        <v>50.2729044834308</v>
      </c>
      <c r="G20" s="376">
        <f t="shared" si="9"/>
        <v>49.497315763787213</v>
      </c>
      <c r="H20" s="285">
        <f t="shared" si="10"/>
        <v>50.014374910216276</v>
      </c>
      <c r="I20" s="285">
        <f t="shared" si="11"/>
        <v>91.026162336593643</v>
      </c>
      <c r="J20" s="290">
        <f t="shared" si="15"/>
        <v>108.36447897213529</v>
      </c>
      <c r="K20" s="285">
        <f t="shared" si="12"/>
        <v>2184.6278960782474</v>
      </c>
      <c r="L20" s="353">
        <f t="shared" si="13"/>
        <v>2184.6278960782474</v>
      </c>
      <c r="M20" s="291">
        <v>41587</v>
      </c>
      <c r="N20" s="287">
        <v>1000</v>
      </c>
      <c r="O20" s="311">
        <f t="shared" si="14"/>
        <v>908521.2031420609</v>
      </c>
      <c r="P20" s="159"/>
      <c r="Q20" s="155"/>
      <c r="R20" s="155"/>
      <c r="S20" s="155"/>
      <c r="T20" s="155"/>
      <c r="U20" s="155"/>
      <c r="V20" s="155"/>
    </row>
    <row r="21" spans="1:25" ht="19.899999999999999" customHeight="1" thickBot="1" x14ac:dyDescent="0.3">
      <c r="A21" s="219" t="s">
        <v>194</v>
      </c>
      <c r="B21" s="318" t="s">
        <v>155</v>
      </c>
      <c r="C21" s="266">
        <v>840</v>
      </c>
      <c r="D21" s="334">
        <v>1</v>
      </c>
      <c r="E21" s="334">
        <v>1</v>
      </c>
      <c r="F21" s="289">
        <f t="shared" si="8"/>
        <v>0.97465886939571156</v>
      </c>
      <c r="G21" s="289">
        <f t="shared" si="9"/>
        <v>0.9760858955588092</v>
      </c>
      <c r="H21" s="290">
        <f t="shared" si="10"/>
        <v>0.97513454478341077</v>
      </c>
      <c r="I21" s="285">
        <f t="shared" si="11"/>
        <v>1.7747448715058081</v>
      </c>
      <c r="J21" s="290">
        <f t="shared" si="15"/>
        <v>2.1127915136973905</v>
      </c>
      <c r="K21" s="290">
        <f t="shared" si="12"/>
        <v>42.593876916139394</v>
      </c>
      <c r="L21" s="353">
        <f t="shared" si="13"/>
        <v>42.593876916139394</v>
      </c>
      <c r="M21" s="292">
        <v>29555</v>
      </c>
      <c r="N21" s="286">
        <v>1000</v>
      </c>
      <c r="O21" s="312">
        <f>L21*M21*N21/100000</f>
        <v>12588.620322564997</v>
      </c>
      <c r="P21" s="159"/>
      <c r="Q21" s="155"/>
      <c r="R21" s="155"/>
      <c r="S21" s="155"/>
      <c r="T21" s="155"/>
      <c r="U21" s="155"/>
      <c r="V21" s="155"/>
    </row>
    <row r="22" spans="1:25" ht="19.899999999999999" hidden="1" customHeight="1" thickBot="1" x14ac:dyDescent="0.3">
      <c r="A22" s="223" t="s">
        <v>201</v>
      </c>
      <c r="B22" s="319" t="s">
        <v>205</v>
      </c>
      <c r="C22" s="293"/>
      <c r="D22" s="305">
        <v>0</v>
      </c>
      <c r="E22" s="305">
        <v>0</v>
      </c>
      <c r="F22" s="306">
        <f t="shared" si="8"/>
        <v>0</v>
      </c>
      <c r="G22" s="306">
        <f t="shared" si="9"/>
        <v>0</v>
      </c>
      <c r="H22" s="306">
        <f t="shared" si="10"/>
        <v>0</v>
      </c>
      <c r="I22" s="359">
        <f>$L$11*H22%/24</f>
        <v>0</v>
      </c>
      <c r="J22" s="307"/>
      <c r="K22" s="308">
        <f>I22*24</f>
        <v>0</v>
      </c>
      <c r="L22" s="354">
        <f t="shared" si="13"/>
        <v>0</v>
      </c>
      <c r="M22" s="294"/>
      <c r="N22" s="295"/>
      <c r="O22" s="296"/>
      <c r="P22" s="159"/>
      <c r="Q22" s="155"/>
      <c r="R22" s="155"/>
      <c r="S22" s="155"/>
      <c r="T22" s="155"/>
      <c r="U22" s="155"/>
      <c r="V22" s="155"/>
    </row>
    <row r="23" spans="1:25" ht="27.6" customHeight="1" thickBot="1" x14ac:dyDescent="0.3">
      <c r="A23" s="254"/>
      <c r="B23" s="297" t="s">
        <v>211</v>
      </c>
      <c r="C23" s="298" t="s">
        <v>169</v>
      </c>
      <c r="D23" s="335">
        <f>SUM(D14:D22)</f>
        <v>102.6</v>
      </c>
      <c r="E23" s="335">
        <f t="shared" ref="E23:F23" si="16">SUM(E14:E22)</f>
        <v>102.45</v>
      </c>
      <c r="F23" s="336">
        <f t="shared" si="16"/>
        <v>100</v>
      </c>
      <c r="G23" s="336">
        <f>SUM(G14:G22)</f>
        <v>100</v>
      </c>
      <c r="H23" s="336">
        <f>SUM(H14:H22)</f>
        <v>100.00000000000001</v>
      </c>
      <c r="I23" s="335">
        <f>SUM(I14:I22)</f>
        <v>182.00000000000006</v>
      </c>
      <c r="J23" s="336"/>
      <c r="K23" s="347">
        <f t="shared" ref="K23:L23" si="17">SUM(K14:K22)</f>
        <v>4368.0000000000009</v>
      </c>
      <c r="L23" s="358">
        <f t="shared" si="17"/>
        <v>4368.0000000000009</v>
      </c>
      <c r="M23" s="299"/>
      <c r="N23" s="299"/>
      <c r="O23" s="300">
        <f t="shared" ref="O23" si="18">SUM(O14:O21)</f>
        <v>1793975.1959654209</v>
      </c>
      <c r="P23" s="155"/>
      <c r="Q23" s="155"/>
      <c r="R23" s="155"/>
      <c r="S23" s="155"/>
      <c r="T23" s="155"/>
      <c r="U23" s="155"/>
      <c r="V23" s="155"/>
    </row>
    <row r="24" spans="1:25" ht="18.600000000000001" customHeight="1" thickBot="1" x14ac:dyDescent="0.3">
      <c r="A24" s="255"/>
      <c r="B24" s="338" t="s">
        <v>212</v>
      </c>
      <c r="C24" s="339" t="s">
        <v>172</v>
      </c>
      <c r="D24" s="340">
        <f>D11-D23</f>
        <v>0</v>
      </c>
      <c r="E24" s="341">
        <f>E11-E23</f>
        <v>0</v>
      </c>
      <c r="F24" s="342"/>
      <c r="G24" s="342"/>
      <c r="H24" s="341"/>
      <c r="I24" s="343">
        <f>I11-I23</f>
        <v>0</v>
      </c>
      <c r="J24" s="250"/>
      <c r="K24" s="345"/>
      <c r="L24" s="346"/>
      <c r="M24" s="251"/>
      <c r="N24" s="251"/>
      <c r="O24" s="252"/>
      <c r="P24" s="155"/>
      <c r="Q24" s="155"/>
      <c r="R24" s="155"/>
      <c r="S24" s="155"/>
      <c r="T24" s="155"/>
      <c r="U24" s="155"/>
      <c r="V24" s="155"/>
    </row>
    <row r="25" spans="1:25" ht="15.75" hidden="1" thickBot="1" x14ac:dyDescent="0.3">
      <c r="A25" s="222"/>
      <c r="B25" s="321" t="s">
        <v>47</v>
      </c>
      <c r="C25" s="259" t="s">
        <v>173</v>
      </c>
      <c r="D25" s="260">
        <f>D11-(D23+D24)</f>
        <v>0</v>
      </c>
      <c r="E25" s="260">
        <f t="shared" ref="E25:I25" si="19">E11-(E23+E24)</f>
        <v>0</v>
      </c>
      <c r="F25" s="260"/>
      <c r="G25" s="260"/>
      <c r="H25" s="260"/>
      <c r="I25" s="260">
        <f t="shared" si="19"/>
        <v>0</v>
      </c>
      <c r="J25" s="260"/>
      <c r="K25" s="260">
        <f t="shared" ref="K25:L25" si="20">K23-K11</f>
        <v>0</v>
      </c>
      <c r="L25" s="260">
        <f t="shared" si="20"/>
        <v>0</v>
      </c>
      <c r="M25" s="261"/>
      <c r="N25" s="261"/>
      <c r="O25" s="261"/>
    </row>
    <row r="26" spans="1:25" ht="15.75" hidden="1" thickBot="1" x14ac:dyDescent="0.3">
      <c r="A26" s="323"/>
      <c r="B26" s="324"/>
      <c r="C26" s="325"/>
      <c r="D26" s="326"/>
      <c r="E26" s="326"/>
      <c r="F26" s="326"/>
      <c r="G26" s="326"/>
      <c r="H26" s="326"/>
      <c r="I26" s="327"/>
      <c r="J26" s="326"/>
      <c r="K26" s="326"/>
      <c r="L26" s="326"/>
      <c r="M26" s="328"/>
      <c r="N26" s="328"/>
      <c r="O26" s="328"/>
    </row>
    <row r="27" spans="1:25" ht="18" x14ac:dyDescent="0.25">
      <c r="A27" s="329"/>
      <c r="B27" s="471" t="s">
        <v>196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2"/>
    </row>
    <row r="28" spans="1:25" ht="20.25" x14ac:dyDescent="0.3">
      <c r="A28" s="330"/>
      <c r="B28" s="469" t="s">
        <v>213</v>
      </c>
      <c r="C28" s="469"/>
      <c r="D28" s="469"/>
      <c r="E28" s="469"/>
      <c r="F28" s="469"/>
      <c r="G28" s="262" t="s">
        <v>168</v>
      </c>
      <c r="H28" s="473">
        <f>O23</f>
        <v>1793975.1959654209</v>
      </c>
      <c r="I28" s="473"/>
      <c r="J28" s="473"/>
      <c r="K28" s="473"/>
      <c r="L28" s="473"/>
      <c r="M28" s="473"/>
      <c r="N28" s="473"/>
      <c r="O28" s="474"/>
      <c r="X28" s="378"/>
      <c r="Y28" s="378"/>
    </row>
    <row r="29" spans="1:25" ht="20.25" x14ac:dyDescent="0.3">
      <c r="A29" s="330"/>
      <c r="B29" s="469" t="s">
        <v>214</v>
      </c>
      <c r="C29" s="469"/>
      <c r="D29" s="469"/>
      <c r="E29" s="469"/>
      <c r="F29" s="469"/>
      <c r="G29" s="262" t="s">
        <v>169</v>
      </c>
      <c r="H29" s="473">
        <f>O9</f>
        <v>1290962.4000000001</v>
      </c>
      <c r="I29" s="473"/>
      <c r="J29" s="473"/>
      <c r="K29" s="473"/>
      <c r="L29" s="473"/>
      <c r="M29" s="473"/>
      <c r="N29" s="473"/>
      <c r="O29" s="474"/>
      <c r="X29" s="378"/>
      <c r="Y29" s="378"/>
    </row>
    <row r="30" spans="1:25" ht="20.25" x14ac:dyDescent="0.3">
      <c r="A30" s="330"/>
      <c r="B30" s="469" t="s">
        <v>215</v>
      </c>
      <c r="C30" s="469"/>
      <c r="D30" s="469"/>
      <c r="E30" s="469"/>
      <c r="F30" s="469"/>
      <c r="G30" s="263" t="s">
        <v>172</v>
      </c>
      <c r="H30" s="463"/>
      <c r="I30" s="463"/>
      <c r="J30" s="463"/>
      <c r="K30" s="463"/>
      <c r="L30" s="463"/>
      <c r="M30" s="463"/>
      <c r="N30" s="463"/>
      <c r="O30" s="464"/>
      <c r="X30" s="379"/>
      <c r="Y30" s="378"/>
    </row>
    <row r="31" spans="1:25" ht="28.5" thickBot="1" x14ac:dyDescent="0.45">
      <c r="A31" s="331"/>
      <c r="B31" s="470" t="s">
        <v>54</v>
      </c>
      <c r="C31" s="470"/>
      <c r="D31" s="470"/>
      <c r="E31" s="470"/>
      <c r="F31" s="470"/>
      <c r="G31" s="322" t="s">
        <v>173</v>
      </c>
      <c r="H31" s="465">
        <f>H28-H29-H30</f>
        <v>503012.79596542078</v>
      </c>
      <c r="I31" s="466"/>
      <c r="J31" s="466"/>
      <c r="K31" s="466"/>
      <c r="L31" s="466"/>
      <c r="M31" s="466"/>
      <c r="N31" s="466"/>
      <c r="O31" s="467"/>
      <c r="W31" s="361" t="s">
        <v>209</v>
      </c>
      <c r="X31" s="378"/>
      <c r="Y31" s="378"/>
    </row>
    <row r="35" spans="2:7" ht="18.75" x14ac:dyDescent="0.3">
      <c r="B35" s="386" t="s">
        <v>221</v>
      </c>
      <c r="C35" s="388"/>
      <c r="D35" s="388"/>
      <c r="E35" s="388"/>
      <c r="F35" s="389" t="s">
        <v>226</v>
      </c>
    </row>
    <row r="36" spans="2:7" ht="18.75" x14ac:dyDescent="0.3">
      <c r="B36" s="385" t="s">
        <v>69</v>
      </c>
      <c r="C36" s="386"/>
      <c r="D36" s="387">
        <v>0.01</v>
      </c>
      <c r="E36" s="391" t="s">
        <v>224</v>
      </c>
      <c r="F36" s="390">
        <f>H15</f>
        <v>0.18205048438024729</v>
      </c>
      <c r="G36" t="s">
        <v>227</v>
      </c>
    </row>
    <row r="37" spans="2:7" ht="18.75" x14ac:dyDescent="0.3">
      <c r="B37" s="385" t="s">
        <v>222</v>
      </c>
      <c r="C37" s="386"/>
      <c r="D37" s="387">
        <v>0.105</v>
      </c>
      <c r="E37" s="391" t="s">
        <v>224</v>
      </c>
      <c r="F37" s="390">
        <f>H17</f>
        <v>9.2378919208438095</v>
      </c>
      <c r="G37" t="s">
        <v>227</v>
      </c>
    </row>
    <row r="38" spans="2:7" ht="18.75" x14ac:dyDescent="0.3">
      <c r="B38" s="385" t="s">
        <v>220</v>
      </c>
      <c r="C38" s="386"/>
      <c r="D38" s="387">
        <v>0.83499999999999996</v>
      </c>
      <c r="E38" s="391" t="s">
        <v>225</v>
      </c>
      <c r="F38" s="390">
        <f>H19+H20</f>
        <v>84.082303258281286</v>
      </c>
      <c r="G38" t="s">
        <v>227</v>
      </c>
    </row>
    <row r="39" spans="2:7" ht="18.75" x14ac:dyDescent="0.3">
      <c r="B39" s="385" t="s">
        <v>223</v>
      </c>
      <c r="C39" s="386"/>
      <c r="D39" s="387">
        <v>0.35</v>
      </c>
      <c r="E39" s="391" t="s">
        <v>224</v>
      </c>
      <c r="F39" s="390">
        <f>H19</f>
        <v>34.067928348065003</v>
      </c>
      <c r="G39" t="s">
        <v>227</v>
      </c>
    </row>
  </sheetData>
  <mergeCells count="35">
    <mergeCell ref="P18:Q18"/>
    <mergeCell ref="R18:S18"/>
    <mergeCell ref="B30:F30"/>
    <mergeCell ref="H30:O30"/>
    <mergeCell ref="B31:F31"/>
    <mergeCell ref="H31:O31"/>
    <mergeCell ref="P19:V19"/>
    <mergeCell ref="B27:O27"/>
    <mergeCell ref="B28:F28"/>
    <mergeCell ref="H28:O28"/>
    <mergeCell ref="B29:F29"/>
    <mergeCell ref="H29:O29"/>
    <mergeCell ref="P10:Q10"/>
    <mergeCell ref="R10:S10"/>
    <mergeCell ref="B12:B13"/>
    <mergeCell ref="I12:K12"/>
    <mergeCell ref="P12:Q12"/>
    <mergeCell ref="R12:S12"/>
    <mergeCell ref="P7:Q7"/>
    <mergeCell ref="R7:S7"/>
    <mergeCell ref="P8:Q8"/>
    <mergeCell ref="R8:S8"/>
    <mergeCell ref="P9:Q9"/>
    <mergeCell ref="R9:S9"/>
    <mergeCell ref="P5:Q5"/>
    <mergeCell ref="R5:S5"/>
    <mergeCell ref="P6:Q6"/>
    <mergeCell ref="R6:S6"/>
    <mergeCell ref="P4:Q4"/>
    <mergeCell ref="R4:S4"/>
    <mergeCell ref="B2:O2"/>
    <mergeCell ref="I3:K3"/>
    <mergeCell ref="P3:Q3"/>
    <mergeCell ref="R3:T3"/>
    <mergeCell ref="U3:V3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9"/>
  <sheetViews>
    <sheetView topLeftCell="A4" workbookViewId="0">
      <selection activeCell="D10" sqref="D10"/>
    </sheetView>
  </sheetViews>
  <sheetFormatPr defaultRowHeight="15" x14ac:dyDescent="0.25"/>
  <cols>
    <col min="1" max="1" width="3.28515625" customWidth="1"/>
    <col min="2" max="2" width="25.85546875" customWidth="1"/>
    <col min="3" max="3" width="9" hidden="1" customWidth="1"/>
    <col min="4" max="4" width="10" customWidth="1"/>
    <col min="5" max="5" width="9.7109375" customWidth="1"/>
    <col min="6" max="6" width="9.85546875" customWidth="1"/>
    <col min="7" max="7" width="10" customWidth="1"/>
    <col min="8" max="8" width="12.7109375" customWidth="1"/>
    <col min="9" max="9" width="9.85546875" customWidth="1"/>
    <col min="10" max="10" width="9.140625" hidden="1" customWidth="1"/>
    <col min="11" max="11" width="9.5703125" hidden="1" customWidth="1"/>
    <col min="12" max="12" width="12.28515625" customWidth="1"/>
    <col min="13" max="13" width="10.140625" customWidth="1"/>
    <col min="14" max="14" width="12.140625" customWidth="1"/>
    <col min="15" max="15" width="15.710937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2" ht="24" thickBot="1" x14ac:dyDescent="0.3">
      <c r="B2" s="468" t="s">
        <v>206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22" ht="60" x14ac:dyDescent="0.25">
      <c r="B3" s="320" t="s">
        <v>0</v>
      </c>
      <c r="C3" s="178" t="s">
        <v>177</v>
      </c>
      <c r="D3" s="64" t="s">
        <v>60</v>
      </c>
      <c r="E3" s="64" t="s">
        <v>61</v>
      </c>
      <c r="F3" s="64"/>
      <c r="G3" s="64"/>
      <c r="H3" s="64" t="s">
        <v>160</v>
      </c>
      <c r="I3" s="411" t="s">
        <v>158</v>
      </c>
      <c r="J3" s="412"/>
      <c r="K3" s="412"/>
      <c r="L3" s="64" t="s">
        <v>166</v>
      </c>
      <c r="M3" s="64" t="s">
        <v>152</v>
      </c>
      <c r="N3" s="64" t="s">
        <v>207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2" ht="30" x14ac:dyDescent="0.25">
      <c r="B4" s="264"/>
      <c r="C4" s="265" t="s">
        <v>111</v>
      </c>
      <c r="D4" s="266" t="s">
        <v>140</v>
      </c>
      <c r="E4" s="266" t="s">
        <v>140</v>
      </c>
      <c r="F4" s="266"/>
      <c r="G4" s="266"/>
      <c r="H4" s="266" t="s">
        <v>159</v>
      </c>
      <c r="I4" s="266" t="s">
        <v>109</v>
      </c>
      <c r="J4" s="266" t="s">
        <v>178</v>
      </c>
      <c r="K4" s="267" t="s">
        <v>139</v>
      </c>
      <c r="L4" s="266" t="s">
        <v>139</v>
      </c>
      <c r="M4" s="266" t="s">
        <v>146</v>
      </c>
      <c r="N4" s="266" t="s">
        <v>149</v>
      </c>
      <c r="O4" s="268" t="s">
        <v>151</v>
      </c>
      <c r="P4" s="445"/>
      <c r="Q4" s="429"/>
      <c r="R4" s="429" t="s">
        <v>60</v>
      </c>
      <c r="S4" s="429"/>
      <c r="T4" s="156" t="s">
        <v>61</v>
      </c>
      <c r="U4" s="156" t="s">
        <v>60</v>
      </c>
      <c r="V4" s="156" t="s">
        <v>61</v>
      </c>
    </row>
    <row r="5" spans="1:22" ht="15.75" x14ac:dyDescent="0.25">
      <c r="B5" s="269" t="s">
        <v>99</v>
      </c>
      <c r="C5" s="265">
        <v>880</v>
      </c>
      <c r="D5" s="266">
        <v>13.5</v>
      </c>
      <c r="E5" s="266">
        <v>13.5</v>
      </c>
      <c r="F5" s="266"/>
      <c r="G5" s="266"/>
      <c r="H5" s="301">
        <f>(D5*2/3)+(E5*1/3)</f>
        <v>13.5</v>
      </c>
      <c r="I5" s="270">
        <f>182*H5%</f>
        <v>24.57</v>
      </c>
      <c r="J5" s="270">
        <f>I5*1000/C5</f>
        <v>27.920454545454547</v>
      </c>
      <c r="K5" s="349">
        <f>I5*24</f>
        <v>589.68000000000006</v>
      </c>
      <c r="L5" s="355">
        <f>I5*24</f>
        <v>589.68000000000006</v>
      </c>
      <c r="M5" s="352">
        <v>29555</v>
      </c>
      <c r="N5" s="271">
        <v>1000</v>
      </c>
      <c r="O5" s="309">
        <f>L5*M5*N5/100000</f>
        <v>174279.92400000003</v>
      </c>
      <c r="P5" s="425" t="s">
        <v>65</v>
      </c>
      <c r="Q5" s="426"/>
      <c r="R5" s="428"/>
      <c r="S5" s="428"/>
      <c r="T5" s="155"/>
      <c r="U5" s="155"/>
      <c r="V5" s="155"/>
    </row>
    <row r="6" spans="1:22" ht="15.75" x14ac:dyDescent="0.25">
      <c r="B6" s="272" t="s">
        <v>100</v>
      </c>
      <c r="C6" s="273">
        <v>965</v>
      </c>
      <c r="D6" s="274">
        <v>10.6</v>
      </c>
      <c r="E6" s="274">
        <v>10.6</v>
      </c>
      <c r="F6" s="274"/>
      <c r="G6" s="274"/>
      <c r="H6" s="301">
        <f>(D6*2/3)+(E6*1/3)</f>
        <v>10.6</v>
      </c>
      <c r="I6" s="270">
        <f t="shared" ref="I6:I8" si="0">182*H6%</f>
        <v>19.291999999999998</v>
      </c>
      <c r="J6" s="270">
        <f t="shared" ref="J6:J8" si="1">I6*1000/C6</f>
        <v>19.991709844559583</v>
      </c>
      <c r="K6" s="349">
        <f t="shared" ref="K6:K8" si="2">I6*24</f>
        <v>463.00799999999992</v>
      </c>
      <c r="L6" s="355">
        <f>I6*24</f>
        <v>463.00799999999992</v>
      </c>
      <c r="M6" s="352">
        <v>29555</v>
      </c>
      <c r="N6" s="271">
        <v>1000</v>
      </c>
      <c r="O6" s="309">
        <f t="shared" ref="O6:O8" si="3">L6*M6*N6/100000</f>
        <v>136842.01439999999</v>
      </c>
      <c r="P6" s="425" t="s">
        <v>69</v>
      </c>
      <c r="Q6" s="426"/>
      <c r="R6" s="428"/>
      <c r="S6" s="428"/>
      <c r="T6" s="155"/>
      <c r="U6" s="155"/>
      <c r="V6" s="155"/>
    </row>
    <row r="7" spans="1:22" ht="15.75" x14ac:dyDescent="0.25">
      <c r="B7" s="269" t="s">
        <v>93</v>
      </c>
      <c r="C7" s="265">
        <v>920</v>
      </c>
      <c r="D7" s="266">
        <v>61.6</v>
      </c>
      <c r="E7" s="266">
        <v>61.6</v>
      </c>
      <c r="F7" s="266"/>
      <c r="G7" s="266"/>
      <c r="H7" s="301">
        <f>(D7*2/3)+(E7*1/3)</f>
        <v>61.600000000000009</v>
      </c>
      <c r="I7" s="270">
        <f t="shared" si="0"/>
        <v>112.11200000000002</v>
      </c>
      <c r="J7" s="270">
        <f t="shared" si="1"/>
        <v>121.86086956521743</v>
      </c>
      <c r="K7" s="349">
        <f t="shared" si="2"/>
        <v>2690.6880000000006</v>
      </c>
      <c r="L7" s="355">
        <f>I7*24</f>
        <v>2690.6880000000006</v>
      </c>
      <c r="M7" s="352">
        <v>29555</v>
      </c>
      <c r="N7" s="271">
        <v>1000</v>
      </c>
      <c r="O7" s="309">
        <f t="shared" si="3"/>
        <v>795232.83840000012</v>
      </c>
      <c r="P7" s="425" t="s">
        <v>70</v>
      </c>
      <c r="Q7" s="426"/>
      <c r="R7" s="428"/>
      <c r="S7" s="428"/>
      <c r="T7" s="155"/>
      <c r="U7" s="155"/>
      <c r="V7" s="155"/>
    </row>
    <row r="8" spans="1:22" ht="15.75" x14ac:dyDescent="0.25">
      <c r="B8" s="269" t="s">
        <v>138</v>
      </c>
      <c r="C8" s="265">
        <v>870</v>
      </c>
      <c r="D8" s="266">
        <v>14.3</v>
      </c>
      <c r="E8" s="266">
        <v>14.3</v>
      </c>
      <c r="F8" s="266"/>
      <c r="G8" s="266"/>
      <c r="H8" s="301">
        <f>(D8*2/3)+(E8*1/3)</f>
        <v>14.3</v>
      </c>
      <c r="I8" s="270">
        <f t="shared" si="0"/>
        <v>26.026000000000003</v>
      </c>
      <c r="J8" s="270">
        <f t="shared" si="1"/>
        <v>29.914942528735637</v>
      </c>
      <c r="K8" s="349">
        <f t="shared" si="2"/>
        <v>624.62400000000002</v>
      </c>
      <c r="L8" s="355">
        <f>I8*24</f>
        <v>624.62400000000002</v>
      </c>
      <c r="M8" s="352">
        <v>29555</v>
      </c>
      <c r="N8" s="271">
        <v>1000</v>
      </c>
      <c r="O8" s="309">
        <f t="shared" si="3"/>
        <v>184607.6232</v>
      </c>
      <c r="P8" s="427" t="s">
        <v>71</v>
      </c>
      <c r="Q8" s="428"/>
      <c r="R8" s="428"/>
      <c r="S8" s="428"/>
      <c r="T8" s="155"/>
      <c r="U8" s="155"/>
      <c r="V8" s="155"/>
    </row>
    <row r="9" spans="1:22" ht="15.75" x14ac:dyDescent="0.25">
      <c r="B9" s="370" t="s">
        <v>208</v>
      </c>
      <c r="C9" s="371"/>
      <c r="D9" s="292">
        <f>SUM(D5:D8)</f>
        <v>100</v>
      </c>
      <c r="E9" s="292">
        <f t="shared" ref="E9:J9" si="4">SUM(E5:E8)</f>
        <v>100</v>
      </c>
      <c r="F9" s="292"/>
      <c r="G9" s="292"/>
      <c r="H9" s="372">
        <f t="shared" si="4"/>
        <v>100.00000000000001</v>
      </c>
      <c r="I9" s="292">
        <f t="shared" si="4"/>
        <v>182.00000000000003</v>
      </c>
      <c r="J9" s="373">
        <f t="shared" si="4"/>
        <v>199.68797648396719</v>
      </c>
      <c r="K9" s="374">
        <f>SUM(K5:K8)</f>
        <v>4368.0000000000009</v>
      </c>
      <c r="L9" s="375">
        <f t="shared" ref="L9" si="5">SUM(L5:L8)</f>
        <v>4368.0000000000009</v>
      </c>
      <c r="M9" s="277"/>
      <c r="N9" s="277"/>
      <c r="O9" s="310">
        <f t="shared" ref="O9" si="6">SUM(O5:O8)</f>
        <v>1290962.4000000001</v>
      </c>
      <c r="P9" s="427" t="s">
        <v>72</v>
      </c>
      <c r="Q9" s="428"/>
      <c r="R9" s="428"/>
      <c r="S9" s="428"/>
      <c r="T9" s="155"/>
      <c r="U9" s="155"/>
      <c r="V9" s="155"/>
    </row>
    <row r="10" spans="1:22" ht="32.25" thickBot="1" x14ac:dyDescent="0.3">
      <c r="B10" s="313" t="s">
        <v>217</v>
      </c>
      <c r="C10" s="278"/>
      <c r="D10" s="211"/>
      <c r="E10" s="211"/>
      <c r="F10" s="256"/>
      <c r="G10" s="256"/>
      <c r="H10" s="303">
        <f>(D10*2/3)+(E10*1/3)</f>
        <v>0</v>
      </c>
      <c r="I10" s="212">
        <f>I9*H10%</f>
        <v>0</v>
      </c>
      <c r="J10" s="279">
        <f>I10*1000*22.4/2.01</f>
        <v>0</v>
      </c>
      <c r="K10" s="351">
        <f>I10*24</f>
        <v>0</v>
      </c>
      <c r="L10" s="303">
        <f>L9*H10%</f>
        <v>0</v>
      </c>
      <c r="M10" s="280"/>
      <c r="N10" s="280"/>
      <c r="O10" s="281"/>
      <c r="P10" s="423" t="s">
        <v>73</v>
      </c>
      <c r="Q10" s="424"/>
      <c r="R10" s="453"/>
      <c r="S10" s="424"/>
      <c r="T10" s="21"/>
      <c r="U10" s="21"/>
      <c r="V10" s="21"/>
    </row>
    <row r="11" spans="1:22" ht="18.75" thickBot="1" x14ac:dyDescent="0.3">
      <c r="B11" s="314" t="s">
        <v>210</v>
      </c>
      <c r="C11" s="282" t="s">
        <v>168</v>
      </c>
      <c r="D11" s="253">
        <f>D9+D10</f>
        <v>100</v>
      </c>
      <c r="E11" s="253">
        <f t="shared" ref="E11:L11" si="7">E9+E10</f>
        <v>100</v>
      </c>
      <c r="F11" s="197"/>
      <c r="G11" s="197"/>
      <c r="H11" s="304">
        <f t="shared" si="7"/>
        <v>100.00000000000001</v>
      </c>
      <c r="I11" s="253">
        <f t="shared" si="7"/>
        <v>182.00000000000003</v>
      </c>
      <c r="J11" s="198"/>
      <c r="K11" s="344">
        <f>K9+K10</f>
        <v>4368.0000000000009</v>
      </c>
      <c r="L11" s="357">
        <f t="shared" si="7"/>
        <v>4368.0000000000009</v>
      </c>
      <c r="M11" s="205"/>
      <c r="N11" s="205"/>
      <c r="O11" s="206"/>
      <c r="P11" s="162"/>
      <c r="Q11" s="158"/>
      <c r="R11" s="157"/>
      <c r="S11" s="158"/>
      <c r="T11" s="21"/>
      <c r="U11" s="21"/>
      <c r="V11" s="21"/>
    </row>
    <row r="12" spans="1:22" ht="60.75" thickBot="1" x14ac:dyDescent="0.3">
      <c r="B12" s="475" t="s">
        <v>21</v>
      </c>
      <c r="C12" s="130" t="s">
        <v>177</v>
      </c>
      <c r="D12" s="130" t="s">
        <v>60</v>
      </c>
      <c r="E12" s="130" t="s">
        <v>61</v>
      </c>
      <c r="F12" s="130" t="s">
        <v>202</v>
      </c>
      <c r="G12" s="130" t="s">
        <v>203</v>
      </c>
      <c r="H12" s="130" t="s">
        <v>204</v>
      </c>
      <c r="I12" s="411" t="s">
        <v>162</v>
      </c>
      <c r="J12" s="412"/>
      <c r="K12" s="412"/>
      <c r="L12" s="130" t="s">
        <v>157</v>
      </c>
      <c r="M12" s="130" t="s">
        <v>152</v>
      </c>
      <c r="N12" s="130" t="s">
        <v>216</v>
      </c>
      <c r="O12" s="132" t="s">
        <v>163</v>
      </c>
      <c r="P12" s="454" t="s">
        <v>75</v>
      </c>
      <c r="Q12" s="455"/>
      <c r="R12" s="456">
        <v>1</v>
      </c>
      <c r="S12" s="457"/>
      <c r="T12" s="161">
        <v>1</v>
      </c>
      <c r="U12" s="161">
        <v>1</v>
      </c>
      <c r="V12" s="161">
        <v>1</v>
      </c>
    </row>
    <row r="13" spans="1:22" ht="30.75" thickBot="1" x14ac:dyDescent="0.3">
      <c r="B13" s="476"/>
      <c r="C13" s="110" t="s">
        <v>111</v>
      </c>
      <c r="D13" s="295" t="s">
        <v>140</v>
      </c>
      <c r="E13" s="295" t="s">
        <v>140</v>
      </c>
      <c r="F13" s="295" t="s">
        <v>140</v>
      </c>
      <c r="G13" s="295" t="s">
        <v>140</v>
      </c>
      <c r="H13" s="295" t="s">
        <v>159</v>
      </c>
      <c r="I13" s="257" t="s">
        <v>109</v>
      </c>
      <c r="J13" s="257" t="s">
        <v>178</v>
      </c>
      <c r="K13" s="258" t="s">
        <v>139</v>
      </c>
      <c r="L13" s="295" t="s">
        <v>139</v>
      </c>
      <c r="M13" s="295" t="s">
        <v>146</v>
      </c>
      <c r="N13" s="295" t="s">
        <v>149</v>
      </c>
      <c r="O13" s="337" t="s">
        <v>151</v>
      </c>
      <c r="P13" s="22"/>
      <c r="Q13" s="23"/>
      <c r="R13" s="160"/>
      <c r="S13" s="161"/>
      <c r="T13" s="161"/>
      <c r="U13" s="161"/>
      <c r="V13" s="161"/>
    </row>
    <row r="14" spans="1:22" ht="16.5" thickBot="1" x14ac:dyDescent="0.3">
      <c r="A14" s="219" t="s">
        <v>32</v>
      </c>
      <c r="B14" s="315" t="s">
        <v>65</v>
      </c>
      <c r="C14" s="283"/>
      <c r="D14" s="332"/>
      <c r="E14" s="332"/>
      <c r="F14" s="284">
        <f>D14*100/$D$23</f>
        <v>0</v>
      </c>
      <c r="G14" s="284">
        <f>E14*100/$E$23</f>
        <v>0</v>
      </c>
      <c r="H14" s="285">
        <f>(F14*2/3)+(G14*1/3)</f>
        <v>0</v>
      </c>
      <c r="I14" s="285">
        <f>$L$11*H14%/24</f>
        <v>0</v>
      </c>
      <c r="J14" s="285"/>
      <c r="K14" s="285">
        <f>I14*24</f>
        <v>0</v>
      </c>
      <c r="L14" s="353">
        <f>I14*24</f>
        <v>0</v>
      </c>
      <c r="M14" s="286">
        <v>0</v>
      </c>
      <c r="N14" s="287">
        <v>1000</v>
      </c>
      <c r="O14" s="288">
        <f>L14*M14*N14</f>
        <v>0</v>
      </c>
      <c r="P14" s="22"/>
      <c r="Q14" s="23"/>
      <c r="R14" s="160"/>
      <c r="S14" s="161"/>
      <c r="T14" s="161"/>
      <c r="U14" s="161"/>
      <c r="V14" s="161"/>
    </row>
    <row r="15" spans="1:22" ht="16.5" thickBot="1" x14ac:dyDescent="0.3">
      <c r="A15" s="219" t="s">
        <v>188</v>
      </c>
      <c r="B15" s="316" t="s">
        <v>69</v>
      </c>
      <c r="C15" s="280"/>
      <c r="D15" s="333"/>
      <c r="E15" s="333"/>
      <c r="F15" s="376">
        <f t="shared" ref="F15:F22" si="8">D15*100/$D$23</f>
        <v>0</v>
      </c>
      <c r="G15" s="376">
        <f t="shared" ref="G15:G22" si="9">E15*100/$E$23</f>
        <v>0</v>
      </c>
      <c r="H15" s="285">
        <f t="shared" ref="H15:H22" si="10">(F15*2/3)+(G15*1/3)</f>
        <v>0</v>
      </c>
      <c r="I15" s="285">
        <f t="shared" ref="I15:I21" si="11">$L$11*H15%/24</f>
        <v>0</v>
      </c>
      <c r="J15" s="290"/>
      <c r="K15" s="285">
        <f t="shared" ref="K15:K21" si="12">I15*24</f>
        <v>0</v>
      </c>
      <c r="L15" s="353">
        <f t="shared" ref="L15:L22" si="13">I15*24</f>
        <v>0</v>
      </c>
      <c r="M15" s="291">
        <v>13306</v>
      </c>
      <c r="N15" s="287">
        <v>1000</v>
      </c>
      <c r="O15" s="311">
        <f>L15*M15*N15/100000</f>
        <v>0</v>
      </c>
      <c r="P15" s="22"/>
      <c r="Q15" s="23"/>
      <c r="R15" s="160"/>
      <c r="S15" s="161"/>
      <c r="T15" s="161"/>
      <c r="U15" s="161"/>
      <c r="V15" s="161"/>
    </row>
    <row r="16" spans="1:22" ht="16.5" thickBot="1" x14ac:dyDescent="0.3">
      <c r="A16" s="219" t="s">
        <v>189</v>
      </c>
      <c r="B16" s="316" t="s">
        <v>70</v>
      </c>
      <c r="C16" s="266">
        <v>550</v>
      </c>
      <c r="D16" s="334"/>
      <c r="E16" s="334"/>
      <c r="F16" s="284">
        <f t="shared" si="8"/>
        <v>0</v>
      </c>
      <c r="G16" s="284">
        <f t="shared" si="9"/>
        <v>0</v>
      </c>
      <c r="H16" s="285">
        <f t="shared" si="10"/>
        <v>0</v>
      </c>
      <c r="I16" s="285">
        <f t="shared" si="11"/>
        <v>0</v>
      </c>
      <c r="J16" s="290">
        <f>I16*1000/C16</f>
        <v>0</v>
      </c>
      <c r="K16" s="285">
        <f t="shared" si="12"/>
        <v>0</v>
      </c>
      <c r="L16" s="353">
        <f t="shared" si="13"/>
        <v>0</v>
      </c>
      <c r="M16" s="291">
        <v>34951</v>
      </c>
      <c r="N16" s="287">
        <v>1000</v>
      </c>
      <c r="O16" s="311">
        <f t="shared" ref="O16:O20" si="14">L16*M16*N16/100000</f>
        <v>0</v>
      </c>
      <c r="P16" s="22"/>
      <c r="Q16" s="23"/>
      <c r="R16" s="160"/>
      <c r="S16" s="161"/>
      <c r="T16" s="161"/>
      <c r="U16" s="161"/>
      <c r="V16" s="161"/>
    </row>
    <row r="17" spans="1:25" ht="19.899999999999999" customHeight="1" thickBot="1" x14ac:dyDescent="0.3">
      <c r="A17" s="219" t="s">
        <v>190</v>
      </c>
      <c r="B17" s="316" t="s">
        <v>153</v>
      </c>
      <c r="C17" s="266">
        <v>700</v>
      </c>
      <c r="D17" s="334"/>
      <c r="E17" s="334"/>
      <c r="F17" s="376">
        <f t="shared" si="8"/>
        <v>0</v>
      </c>
      <c r="G17" s="376">
        <f t="shared" si="9"/>
        <v>0</v>
      </c>
      <c r="H17" s="285">
        <f t="shared" si="10"/>
        <v>0</v>
      </c>
      <c r="I17" s="285">
        <f t="shared" si="11"/>
        <v>0</v>
      </c>
      <c r="J17" s="290">
        <f t="shared" ref="J17:J21" si="15">I17*1000/C17</f>
        <v>0</v>
      </c>
      <c r="K17" s="285">
        <f t="shared" si="12"/>
        <v>0</v>
      </c>
      <c r="L17" s="353">
        <f t="shared" si="13"/>
        <v>0</v>
      </c>
      <c r="M17" s="291">
        <v>40807</v>
      </c>
      <c r="N17" s="287">
        <v>1000</v>
      </c>
      <c r="O17" s="311">
        <f t="shared" si="14"/>
        <v>0</v>
      </c>
      <c r="P17" s="22"/>
      <c r="Q17" s="23"/>
      <c r="R17" s="160"/>
      <c r="S17" s="161"/>
      <c r="T17" s="161"/>
      <c r="U17" s="161"/>
      <c r="V17" s="161"/>
    </row>
    <row r="18" spans="1:25" ht="19.899999999999999" customHeight="1" x14ac:dyDescent="0.25">
      <c r="A18" s="219" t="s">
        <v>191</v>
      </c>
      <c r="B18" s="317" t="s">
        <v>154</v>
      </c>
      <c r="C18" s="265">
        <v>750</v>
      </c>
      <c r="D18" s="334"/>
      <c r="E18" s="334"/>
      <c r="F18" s="284">
        <f t="shared" si="8"/>
        <v>0</v>
      </c>
      <c r="G18" s="284">
        <f t="shared" si="9"/>
        <v>0</v>
      </c>
      <c r="H18" s="285">
        <f t="shared" si="10"/>
        <v>0</v>
      </c>
      <c r="I18" s="285">
        <f t="shared" si="11"/>
        <v>0</v>
      </c>
      <c r="J18" s="290">
        <f t="shared" si="15"/>
        <v>0</v>
      </c>
      <c r="K18" s="285">
        <f t="shared" si="12"/>
        <v>0</v>
      </c>
      <c r="L18" s="353">
        <f t="shared" si="13"/>
        <v>0</v>
      </c>
      <c r="M18" s="291">
        <v>40807</v>
      </c>
      <c r="N18" s="287">
        <v>1000</v>
      </c>
      <c r="O18" s="311">
        <f t="shared" si="14"/>
        <v>0</v>
      </c>
      <c r="P18" s="421" t="s">
        <v>77</v>
      </c>
      <c r="Q18" s="422"/>
      <c r="R18" s="458" t="s">
        <v>78</v>
      </c>
      <c r="S18" s="422"/>
      <c r="T18" s="161" t="s">
        <v>79</v>
      </c>
      <c r="U18" s="161">
        <v>100</v>
      </c>
      <c r="V18" s="161">
        <v>100</v>
      </c>
    </row>
    <row r="19" spans="1:25" ht="19.899999999999999" customHeight="1" x14ac:dyDescent="0.25">
      <c r="A19" s="219" t="s">
        <v>192</v>
      </c>
      <c r="B19" s="317" t="s">
        <v>156</v>
      </c>
      <c r="C19" s="265">
        <v>810</v>
      </c>
      <c r="D19" s="334"/>
      <c r="E19" s="334"/>
      <c r="F19" s="376">
        <f t="shared" si="8"/>
        <v>0</v>
      </c>
      <c r="G19" s="376">
        <f t="shared" si="9"/>
        <v>0</v>
      </c>
      <c r="H19" s="285">
        <f t="shared" si="10"/>
        <v>0</v>
      </c>
      <c r="I19" s="285">
        <f t="shared" si="11"/>
        <v>0</v>
      </c>
      <c r="J19" s="290">
        <f t="shared" si="15"/>
        <v>0</v>
      </c>
      <c r="K19" s="285">
        <f t="shared" si="12"/>
        <v>0</v>
      </c>
      <c r="L19" s="353">
        <f t="shared" si="13"/>
        <v>0</v>
      </c>
      <c r="M19" s="291">
        <v>41587</v>
      </c>
      <c r="N19" s="287">
        <v>1000</v>
      </c>
      <c r="O19" s="311">
        <f t="shared" si="14"/>
        <v>0</v>
      </c>
      <c r="P19" s="427"/>
      <c r="Q19" s="428"/>
      <c r="R19" s="428"/>
      <c r="S19" s="428"/>
      <c r="T19" s="428"/>
      <c r="U19" s="428"/>
      <c r="V19" s="428"/>
    </row>
    <row r="20" spans="1:25" ht="19.899999999999999" customHeight="1" x14ac:dyDescent="0.25">
      <c r="A20" s="219" t="s">
        <v>193</v>
      </c>
      <c r="B20" s="317" t="s">
        <v>74</v>
      </c>
      <c r="C20" s="265">
        <v>840</v>
      </c>
      <c r="D20" s="334"/>
      <c r="E20" s="334"/>
      <c r="F20" s="376">
        <f t="shared" si="8"/>
        <v>0</v>
      </c>
      <c r="G20" s="376">
        <f t="shared" si="9"/>
        <v>0</v>
      </c>
      <c r="H20" s="285">
        <f t="shared" si="10"/>
        <v>0</v>
      </c>
      <c r="I20" s="285">
        <f t="shared" si="11"/>
        <v>0</v>
      </c>
      <c r="J20" s="290">
        <f t="shared" si="15"/>
        <v>0</v>
      </c>
      <c r="K20" s="285">
        <f t="shared" si="12"/>
        <v>0</v>
      </c>
      <c r="L20" s="353">
        <f t="shared" si="13"/>
        <v>0</v>
      </c>
      <c r="M20" s="291">
        <v>41587</v>
      </c>
      <c r="N20" s="287">
        <v>1000</v>
      </c>
      <c r="O20" s="311">
        <f t="shared" si="14"/>
        <v>0</v>
      </c>
      <c r="P20" s="159"/>
      <c r="Q20" s="155"/>
      <c r="R20" s="155"/>
      <c r="S20" s="155"/>
      <c r="T20" s="155"/>
      <c r="U20" s="155"/>
      <c r="V20" s="155"/>
    </row>
    <row r="21" spans="1:25" ht="19.899999999999999" customHeight="1" thickBot="1" x14ac:dyDescent="0.3">
      <c r="A21" s="219" t="s">
        <v>194</v>
      </c>
      <c r="B21" s="318" t="s">
        <v>155</v>
      </c>
      <c r="C21" s="266">
        <v>840</v>
      </c>
      <c r="D21" s="334">
        <v>1</v>
      </c>
      <c r="E21" s="334">
        <v>1</v>
      </c>
      <c r="F21" s="289">
        <f t="shared" si="8"/>
        <v>100</v>
      </c>
      <c r="G21" s="289">
        <f t="shared" si="9"/>
        <v>100</v>
      </c>
      <c r="H21" s="290">
        <f t="shared" si="10"/>
        <v>100</v>
      </c>
      <c r="I21" s="285">
        <f t="shared" si="11"/>
        <v>182.00000000000003</v>
      </c>
      <c r="J21" s="290">
        <f t="shared" si="15"/>
        <v>216.66666666666671</v>
      </c>
      <c r="K21" s="290">
        <f t="shared" si="12"/>
        <v>4368.0000000000009</v>
      </c>
      <c r="L21" s="353">
        <f t="shared" si="13"/>
        <v>4368.0000000000009</v>
      </c>
      <c r="M21" s="292">
        <v>29555</v>
      </c>
      <c r="N21" s="286">
        <v>1000</v>
      </c>
      <c r="O21" s="312">
        <f>L21*M21*N21/100000</f>
        <v>1290962.4000000004</v>
      </c>
      <c r="P21" s="159"/>
      <c r="Q21" s="155"/>
      <c r="R21" s="155"/>
      <c r="S21" s="155"/>
      <c r="T21" s="155"/>
      <c r="U21" s="155"/>
      <c r="V21" s="155"/>
    </row>
    <row r="22" spans="1:25" ht="19.899999999999999" hidden="1" customHeight="1" x14ac:dyDescent="0.25">
      <c r="A22" s="223" t="s">
        <v>201</v>
      </c>
      <c r="B22" s="319" t="s">
        <v>205</v>
      </c>
      <c r="C22" s="293"/>
      <c r="D22" s="305">
        <v>0</v>
      </c>
      <c r="E22" s="305">
        <v>0</v>
      </c>
      <c r="F22" s="306">
        <f t="shared" si="8"/>
        <v>0</v>
      </c>
      <c r="G22" s="306">
        <f t="shared" si="9"/>
        <v>0</v>
      </c>
      <c r="H22" s="306">
        <f t="shared" si="10"/>
        <v>0</v>
      </c>
      <c r="I22" s="359">
        <f>$L$11*H22%/24</f>
        <v>0</v>
      </c>
      <c r="J22" s="307"/>
      <c r="K22" s="308">
        <f>I22*24</f>
        <v>0</v>
      </c>
      <c r="L22" s="354">
        <f t="shared" si="13"/>
        <v>0</v>
      </c>
      <c r="M22" s="294"/>
      <c r="N22" s="295"/>
      <c r="O22" s="296"/>
      <c r="P22" s="159"/>
      <c r="Q22" s="155"/>
      <c r="R22" s="155"/>
      <c r="S22" s="155"/>
      <c r="T22" s="155"/>
      <c r="U22" s="155"/>
      <c r="V22" s="155"/>
    </row>
    <row r="23" spans="1:25" ht="27.6" customHeight="1" thickBot="1" x14ac:dyDescent="0.3">
      <c r="A23" s="254"/>
      <c r="B23" s="297" t="s">
        <v>211</v>
      </c>
      <c r="C23" s="298" t="s">
        <v>169</v>
      </c>
      <c r="D23" s="335">
        <f>SUM(D14:D22)</f>
        <v>1</v>
      </c>
      <c r="E23" s="335">
        <f t="shared" ref="E23:F23" si="16">SUM(E14:E22)</f>
        <v>1</v>
      </c>
      <c r="F23" s="336">
        <f t="shared" si="16"/>
        <v>100</v>
      </c>
      <c r="G23" s="336">
        <f>SUM(G14:G22)</f>
        <v>100</v>
      </c>
      <c r="H23" s="336">
        <f>SUM(H14:H22)</f>
        <v>100</v>
      </c>
      <c r="I23" s="335">
        <f>SUM(I14:I22)</f>
        <v>182.00000000000003</v>
      </c>
      <c r="J23" s="336"/>
      <c r="K23" s="347">
        <f t="shared" ref="K23:L23" si="17">SUM(K14:K22)</f>
        <v>4368.0000000000009</v>
      </c>
      <c r="L23" s="358">
        <f t="shared" si="17"/>
        <v>4368.0000000000009</v>
      </c>
      <c r="M23" s="299"/>
      <c r="N23" s="299"/>
      <c r="O23" s="300">
        <f t="shared" ref="O23" si="18">SUM(O14:O21)</f>
        <v>1290962.4000000004</v>
      </c>
      <c r="P23" s="155"/>
      <c r="Q23" s="155"/>
      <c r="R23" s="155"/>
      <c r="S23" s="155"/>
      <c r="T23" s="155"/>
      <c r="U23" s="155"/>
      <c r="V23" s="155"/>
    </row>
    <row r="24" spans="1:25" ht="18.600000000000001" customHeight="1" thickBot="1" x14ac:dyDescent="0.3">
      <c r="A24" s="255"/>
      <c r="B24" s="338" t="s">
        <v>212</v>
      </c>
      <c r="C24" s="339" t="s">
        <v>172</v>
      </c>
      <c r="D24" s="340">
        <f>D11-D23</f>
        <v>99</v>
      </c>
      <c r="E24" s="341">
        <f>E11-E23</f>
        <v>99</v>
      </c>
      <c r="F24" s="342"/>
      <c r="G24" s="342"/>
      <c r="H24" s="341"/>
      <c r="I24" s="343">
        <f>I11-I23</f>
        <v>0</v>
      </c>
      <c r="J24" s="250"/>
      <c r="K24" s="345"/>
      <c r="L24" s="346"/>
      <c r="M24" s="251"/>
      <c r="N24" s="251"/>
      <c r="O24" s="252"/>
      <c r="P24" s="155"/>
      <c r="Q24" s="155"/>
      <c r="R24" s="155"/>
      <c r="S24" s="155"/>
      <c r="T24" s="155"/>
      <c r="U24" s="155"/>
      <c r="V24" s="155"/>
    </row>
    <row r="25" spans="1:25" ht="15.75" hidden="1" thickBot="1" x14ac:dyDescent="0.3">
      <c r="A25" s="222"/>
      <c r="B25" s="321" t="s">
        <v>47</v>
      </c>
      <c r="C25" s="259" t="s">
        <v>173</v>
      </c>
      <c r="D25" s="260">
        <f>D11-(D23+D24)</f>
        <v>0</v>
      </c>
      <c r="E25" s="260">
        <f t="shared" ref="E25:I25" si="19">E11-(E23+E24)</f>
        <v>0</v>
      </c>
      <c r="F25" s="260"/>
      <c r="G25" s="260"/>
      <c r="H25" s="260"/>
      <c r="I25" s="260">
        <f t="shared" si="19"/>
        <v>0</v>
      </c>
      <c r="J25" s="260"/>
      <c r="K25" s="260">
        <f t="shared" ref="K25:L25" si="20">K23-K11</f>
        <v>0</v>
      </c>
      <c r="L25" s="260">
        <f t="shared" si="20"/>
        <v>0</v>
      </c>
      <c r="M25" s="261"/>
      <c r="N25" s="261"/>
      <c r="O25" s="261"/>
    </row>
    <row r="26" spans="1:25" ht="15.75" hidden="1" thickBot="1" x14ac:dyDescent="0.3">
      <c r="A26" s="323"/>
      <c r="B26" s="324"/>
      <c r="C26" s="325"/>
      <c r="D26" s="326"/>
      <c r="E26" s="326"/>
      <c r="F26" s="326"/>
      <c r="G26" s="326"/>
      <c r="H26" s="326"/>
      <c r="I26" s="327"/>
      <c r="J26" s="326"/>
      <c r="K26" s="326"/>
      <c r="L26" s="326"/>
      <c r="M26" s="328"/>
      <c r="N26" s="328"/>
      <c r="O26" s="328"/>
    </row>
    <row r="27" spans="1:25" ht="18" x14ac:dyDescent="0.25">
      <c r="A27" s="329"/>
      <c r="B27" s="471" t="s">
        <v>196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2"/>
    </row>
    <row r="28" spans="1:25" ht="20.25" x14ac:dyDescent="0.3">
      <c r="A28" s="330"/>
      <c r="B28" s="469" t="s">
        <v>213</v>
      </c>
      <c r="C28" s="469"/>
      <c r="D28" s="469"/>
      <c r="E28" s="469"/>
      <c r="F28" s="469"/>
      <c r="G28" s="262" t="s">
        <v>168</v>
      </c>
      <c r="H28" s="473">
        <f>O23</f>
        <v>1290962.4000000004</v>
      </c>
      <c r="I28" s="473"/>
      <c r="J28" s="473"/>
      <c r="K28" s="473"/>
      <c r="L28" s="473"/>
      <c r="M28" s="473"/>
      <c r="N28" s="473"/>
      <c r="O28" s="474"/>
      <c r="X28" s="378"/>
      <c r="Y28" s="378"/>
    </row>
    <row r="29" spans="1:25" ht="20.25" x14ac:dyDescent="0.3">
      <c r="A29" s="330"/>
      <c r="B29" s="469" t="s">
        <v>214</v>
      </c>
      <c r="C29" s="469"/>
      <c r="D29" s="469"/>
      <c r="E29" s="469"/>
      <c r="F29" s="469"/>
      <c r="G29" s="262" t="s">
        <v>169</v>
      </c>
      <c r="H29" s="473">
        <f>O9</f>
        <v>1290962.4000000001</v>
      </c>
      <c r="I29" s="473"/>
      <c r="J29" s="473"/>
      <c r="K29" s="473"/>
      <c r="L29" s="473"/>
      <c r="M29" s="473"/>
      <c r="N29" s="473"/>
      <c r="O29" s="474"/>
      <c r="X29" s="378"/>
      <c r="Y29" s="378"/>
    </row>
    <row r="30" spans="1:25" ht="20.25" x14ac:dyDescent="0.3">
      <c r="A30" s="330"/>
      <c r="B30" s="469" t="s">
        <v>215</v>
      </c>
      <c r="C30" s="469"/>
      <c r="D30" s="469"/>
      <c r="E30" s="469"/>
      <c r="F30" s="469"/>
      <c r="G30" s="263" t="s">
        <v>172</v>
      </c>
      <c r="H30" s="463"/>
      <c r="I30" s="463"/>
      <c r="J30" s="463"/>
      <c r="K30" s="463"/>
      <c r="L30" s="463"/>
      <c r="M30" s="463"/>
      <c r="N30" s="463"/>
      <c r="O30" s="464"/>
      <c r="X30" s="379"/>
      <c r="Y30" s="378"/>
    </row>
    <row r="31" spans="1:25" ht="28.5" thickBot="1" x14ac:dyDescent="0.45">
      <c r="A31" s="331"/>
      <c r="B31" s="470" t="s">
        <v>54</v>
      </c>
      <c r="C31" s="470"/>
      <c r="D31" s="470"/>
      <c r="E31" s="470"/>
      <c r="F31" s="470"/>
      <c r="G31" s="322" t="s">
        <v>173</v>
      </c>
      <c r="H31" s="465">
        <f>H28-H29-H30</f>
        <v>2.3283064365386963E-10</v>
      </c>
      <c r="I31" s="466"/>
      <c r="J31" s="466"/>
      <c r="K31" s="466"/>
      <c r="L31" s="466"/>
      <c r="M31" s="466"/>
      <c r="N31" s="466"/>
      <c r="O31" s="467"/>
      <c r="W31" s="361" t="s">
        <v>209</v>
      </c>
      <c r="X31" s="378"/>
      <c r="Y31" s="378"/>
    </row>
    <row r="35" spans="2:6" ht="18.75" x14ac:dyDescent="0.3">
      <c r="B35" s="386" t="s">
        <v>221</v>
      </c>
      <c r="C35" s="388"/>
      <c r="D35" s="388"/>
      <c r="E35" s="388"/>
      <c r="F35" s="389" t="s">
        <v>226</v>
      </c>
    </row>
    <row r="36" spans="2:6" ht="18.75" x14ac:dyDescent="0.3">
      <c r="B36" s="385" t="s">
        <v>69</v>
      </c>
      <c r="C36" s="386"/>
      <c r="D36" s="387">
        <v>0.01</v>
      </c>
      <c r="E36" s="391" t="s">
        <v>224</v>
      </c>
      <c r="F36" s="390">
        <f>H15</f>
        <v>0</v>
      </c>
    </row>
    <row r="37" spans="2:6" ht="18.75" x14ac:dyDescent="0.3">
      <c r="B37" s="385" t="s">
        <v>222</v>
      </c>
      <c r="C37" s="386"/>
      <c r="D37" s="387">
        <v>0.105</v>
      </c>
      <c r="E37" s="391" t="s">
        <v>224</v>
      </c>
      <c r="F37" s="390">
        <f>H17</f>
        <v>0</v>
      </c>
    </row>
    <row r="38" spans="2:6" ht="18.75" x14ac:dyDescent="0.3">
      <c r="B38" s="385" t="s">
        <v>220</v>
      </c>
      <c r="C38" s="386"/>
      <c r="D38" s="387">
        <v>0.83499999999999996</v>
      </c>
      <c r="E38" s="391" t="s">
        <v>225</v>
      </c>
      <c r="F38" s="390">
        <f>H19+H20</f>
        <v>0</v>
      </c>
    </row>
    <row r="39" spans="2:6" ht="18.75" x14ac:dyDescent="0.3">
      <c r="B39" s="385" t="s">
        <v>223</v>
      </c>
      <c r="C39" s="386"/>
      <c r="D39" s="387">
        <v>0.35</v>
      </c>
      <c r="E39" s="391" t="s">
        <v>224</v>
      </c>
      <c r="F39" s="390">
        <f>H19</f>
        <v>0</v>
      </c>
    </row>
  </sheetData>
  <mergeCells count="35">
    <mergeCell ref="P18:Q18"/>
    <mergeCell ref="R18:S18"/>
    <mergeCell ref="B30:F30"/>
    <mergeCell ref="H30:O30"/>
    <mergeCell ref="B31:F31"/>
    <mergeCell ref="H31:O31"/>
    <mergeCell ref="P19:V19"/>
    <mergeCell ref="B27:O27"/>
    <mergeCell ref="B28:F28"/>
    <mergeCell ref="H28:O28"/>
    <mergeCell ref="B29:F29"/>
    <mergeCell ref="H29:O29"/>
    <mergeCell ref="P10:Q10"/>
    <mergeCell ref="R10:S10"/>
    <mergeCell ref="B12:B13"/>
    <mergeCell ref="I12:K12"/>
    <mergeCell ref="P12:Q12"/>
    <mergeCell ref="R12:S12"/>
    <mergeCell ref="P7:Q7"/>
    <mergeCell ref="R7:S7"/>
    <mergeCell ref="P8:Q8"/>
    <mergeCell ref="R8:S8"/>
    <mergeCell ref="P9:Q9"/>
    <mergeCell ref="R9:S9"/>
    <mergeCell ref="P5:Q5"/>
    <mergeCell ref="R5:S5"/>
    <mergeCell ref="P6:Q6"/>
    <mergeCell ref="R6:S6"/>
    <mergeCell ref="P4:Q4"/>
    <mergeCell ref="R4:S4"/>
    <mergeCell ref="B2:O2"/>
    <mergeCell ref="I3:K3"/>
    <mergeCell ref="P3:Q3"/>
    <mergeCell ref="R3:T3"/>
    <mergeCell ref="U3:V3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9"/>
  <sheetViews>
    <sheetView topLeftCell="A29" workbookViewId="0">
      <selection activeCell="F7" sqref="F7"/>
    </sheetView>
  </sheetViews>
  <sheetFormatPr defaultRowHeight="15" x14ac:dyDescent="0.25"/>
  <cols>
    <col min="1" max="1" width="3.28515625" customWidth="1"/>
    <col min="2" max="2" width="25.85546875" customWidth="1"/>
    <col min="3" max="3" width="9" hidden="1" customWidth="1"/>
    <col min="4" max="4" width="10" customWidth="1"/>
    <col min="5" max="5" width="9.7109375" customWidth="1"/>
    <col min="6" max="6" width="9.85546875" customWidth="1"/>
    <col min="7" max="7" width="10" customWidth="1"/>
    <col min="8" max="8" width="12.7109375" customWidth="1"/>
    <col min="9" max="9" width="9.85546875" customWidth="1"/>
    <col min="10" max="10" width="9.140625" hidden="1" customWidth="1"/>
    <col min="11" max="11" width="9.5703125" hidden="1" customWidth="1"/>
    <col min="12" max="12" width="12.28515625" customWidth="1"/>
    <col min="13" max="13" width="10.140625" customWidth="1"/>
    <col min="14" max="14" width="12.140625" customWidth="1"/>
    <col min="15" max="15" width="15.710937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2" ht="24" thickBot="1" x14ac:dyDescent="0.3">
      <c r="B2" s="468" t="s">
        <v>206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22" ht="60" x14ac:dyDescent="0.25">
      <c r="B3" s="320" t="s">
        <v>0</v>
      </c>
      <c r="C3" s="178" t="s">
        <v>177</v>
      </c>
      <c r="D3" s="64" t="s">
        <v>60</v>
      </c>
      <c r="E3" s="64" t="s">
        <v>61</v>
      </c>
      <c r="F3" s="64"/>
      <c r="G3" s="64"/>
      <c r="H3" s="64" t="s">
        <v>160</v>
      </c>
      <c r="I3" s="411" t="s">
        <v>158</v>
      </c>
      <c r="J3" s="412"/>
      <c r="K3" s="412"/>
      <c r="L3" s="64" t="s">
        <v>166</v>
      </c>
      <c r="M3" s="64" t="s">
        <v>152</v>
      </c>
      <c r="N3" s="64" t="s">
        <v>207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2" ht="30" x14ac:dyDescent="0.25">
      <c r="B4" s="264"/>
      <c r="C4" s="265" t="s">
        <v>111</v>
      </c>
      <c r="D4" s="266" t="s">
        <v>140</v>
      </c>
      <c r="E4" s="266" t="s">
        <v>140</v>
      </c>
      <c r="F4" s="266"/>
      <c r="G4" s="266"/>
      <c r="H4" s="266" t="s">
        <v>159</v>
      </c>
      <c r="I4" s="266" t="s">
        <v>109</v>
      </c>
      <c r="J4" s="266" t="s">
        <v>178</v>
      </c>
      <c r="K4" s="267" t="s">
        <v>139</v>
      </c>
      <c r="L4" s="266" t="s">
        <v>139</v>
      </c>
      <c r="M4" s="266" t="s">
        <v>146</v>
      </c>
      <c r="N4" s="266" t="s">
        <v>149</v>
      </c>
      <c r="O4" s="268" t="s">
        <v>151</v>
      </c>
      <c r="P4" s="445"/>
      <c r="Q4" s="429"/>
      <c r="R4" s="429" t="s">
        <v>60</v>
      </c>
      <c r="S4" s="429"/>
      <c r="T4" s="156" t="s">
        <v>61</v>
      </c>
      <c r="U4" s="156" t="s">
        <v>60</v>
      </c>
      <c r="V4" s="156" t="s">
        <v>61</v>
      </c>
    </row>
    <row r="5" spans="1:22" ht="15.75" x14ac:dyDescent="0.25">
      <c r="B5" s="269" t="s">
        <v>99</v>
      </c>
      <c r="C5" s="265">
        <v>880</v>
      </c>
      <c r="D5" s="266">
        <v>13.5</v>
      </c>
      <c r="E5" s="266">
        <v>13.5</v>
      </c>
      <c r="F5" s="266"/>
      <c r="G5" s="266"/>
      <c r="H5" s="301">
        <f>(D5*2/3)+(E5*1/3)</f>
        <v>13.5</v>
      </c>
      <c r="I5" s="270">
        <f>182*H5%</f>
        <v>24.57</v>
      </c>
      <c r="J5" s="270">
        <f>I5*1000/C5</f>
        <v>27.920454545454547</v>
      </c>
      <c r="K5" s="349">
        <f>I5*24</f>
        <v>589.68000000000006</v>
      </c>
      <c r="L5" s="355">
        <f>I5*24</f>
        <v>589.68000000000006</v>
      </c>
      <c r="M5" s="352">
        <v>29555</v>
      </c>
      <c r="N5" s="271">
        <v>1000</v>
      </c>
      <c r="O5" s="309">
        <f>L5*M5*N5/100000</f>
        <v>174279.92400000003</v>
      </c>
      <c r="P5" s="425" t="s">
        <v>65</v>
      </c>
      <c r="Q5" s="426"/>
      <c r="R5" s="428"/>
      <c r="S5" s="428"/>
      <c r="T5" s="155"/>
      <c r="U5" s="155"/>
      <c r="V5" s="155"/>
    </row>
    <row r="6" spans="1:22" ht="15.75" x14ac:dyDescent="0.25">
      <c r="B6" s="272" t="s">
        <v>100</v>
      </c>
      <c r="C6" s="273">
        <v>965</v>
      </c>
      <c r="D6" s="274">
        <v>10.6</v>
      </c>
      <c r="E6" s="274">
        <v>10.6</v>
      </c>
      <c r="F6" s="274"/>
      <c r="G6" s="274"/>
      <c r="H6" s="301">
        <f>(D6*2/3)+(E6*1/3)</f>
        <v>10.6</v>
      </c>
      <c r="I6" s="270">
        <f t="shared" ref="I6:I8" si="0">182*H6%</f>
        <v>19.291999999999998</v>
      </c>
      <c r="J6" s="270">
        <f t="shared" ref="J6:J8" si="1">I6*1000/C6</f>
        <v>19.991709844559583</v>
      </c>
      <c r="K6" s="349">
        <f t="shared" ref="K6:K8" si="2">I6*24</f>
        <v>463.00799999999992</v>
      </c>
      <c r="L6" s="355">
        <f>I6*24</f>
        <v>463.00799999999992</v>
      </c>
      <c r="M6" s="352">
        <v>29555</v>
      </c>
      <c r="N6" s="271">
        <v>1000</v>
      </c>
      <c r="O6" s="309">
        <f t="shared" ref="O6:O8" si="3">L6*M6*N6/100000</f>
        <v>136842.01439999999</v>
      </c>
      <c r="P6" s="425" t="s">
        <v>69</v>
      </c>
      <c r="Q6" s="426"/>
      <c r="R6" s="428"/>
      <c r="S6" s="428"/>
      <c r="T6" s="155"/>
      <c r="U6" s="155"/>
      <c r="V6" s="155"/>
    </row>
    <row r="7" spans="1:22" ht="15.75" x14ac:dyDescent="0.25">
      <c r="B7" s="269" t="s">
        <v>93</v>
      </c>
      <c r="C7" s="265">
        <v>920</v>
      </c>
      <c r="D7" s="266">
        <v>61.6</v>
      </c>
      <c r="E7" s="266">
        <v>61.6</v>
      </c>
      <c r="F7" s="266"/>
      <c r="G7" s="266"/>
      <c r="H7" s="301">
        <f>(D7*2/3)+(E7*1/3)</f>
        <v>61.600000000000009</v>
      </c>
      <c r="I7" s="270">
        <f t="shared" si="0"/>
        <v>112.11200000000002</v>
      </c>
      <c r="J7" s="270">
        <f t="shared" si="1"/>
        <v>121.86086956521743</v>
      </c>
      <c r="K7" s="349">
        <f t="shared" si="2"/>
        <v>2690.6880000000006</v>
      </c>
      <c r="L7" s="355">
        <f>I7*24</f>
        <v>2690.6880000000006</v>
      </c>
      <c r="M7" s="352">
        <v>29555</v>
      </c>
      <c r="N7" s="271">
        <v>1000</v>
      </c>
      <c r="O7" s="309">
        <f t="shared" si="3"/>
        <v>795232.83840000012</v>
      </c>
      <c r="P7" s="425" t="s">
        <v>70</v>
      </c>
      <c r="Q7" s="426"/>
      <c r="R7" s="428"/>
      <c r="S7" s="428"/>
      <c r="T7" s="155"/>
      <c r="U7" s="155"/>
      <c r="V7" s="155"/>
    </row>
    <row r="8" spans="1:22" ht="15.75" x14ac:dyDescent="0.25">
      <c r="B8" s="269" t="s">
        <v>138</v>
      </c>
      <c r="C8" s="265">
        <v>870</v>
      </c>
      <c r="D8" s="266">
        <v>14.3</v>
      </c>
      <c r="E8" s="266">
        <v>14.3</v>
      </c>
      <c r="F8" s="266"/>
      <c r="G8" s="266"/>
      <c r="H8" s="301">
        <f>(D8*2/3)+(E8*1/3)</f>
        <v>14.3</v>
      </c>
      <c r="I8" s="270">
        <f t="shared" si="0"/>
        <v>26.026000000000003</v>
      </c>
      <c r="J8" s="270">
        <f t="shared" si="1"/>
        <v>29.914942528735637</v>
      </c>
      <c r="K8" s="349">
        <f t="shared" si="2"/>
        <v>624.62400000000002</v>
      </c>
      <c r="L8" s="355">
        <f>I8*24</f>
        <v>624.62400000000002</v>
      </c>
      <c r="M8" s="352">
        <v>29555</v>
      </c>
      <c r="N8" s="271">
        <v>1000</v>
      </c>
      <c r="O8" s="309">
        <f t="shared" si="3"/>
        <v>184607.6232</v>
      </c>
      <c r="P8" s="427" t="s">
        <v>71</v>
      </c>
      <c r="Q8" s="428"/>
      <c r="R8" s="428"/>
      <c r="S8" s="428"/>
      <c r="T8" s="155"/>
      <c r="U8" s="155"/>
      <c r="V8" s="155"/>
    </row>
    <row r="9" spans="1:22" ht="15.75" x14ac:dyDescent="0.25">
      <c r="B9" s="370" t="s">
        <v>208</v>
      </c>
      <c r="C9" s="371"/>
      <c r="D9" s="292">
        <f>SUM(D5:D8)</f>
        <v>100</v>
      </c>
      <c r="E9" s="292">
        <f t="shared" ref="E9:J9" si="4">SUM(E5:E8)</f>
        <v>100</v>
      </c>
      <c r="F9" s="292"/>
      <c r="G9" s="292"/>
      <c r="H9" s="372">
        <f t="shared" si="4"/>
        <v>100.00000000000001</v>
      </c>
      <c r="I9" s="292">
        <f t="shared" si="4"/>
        <v>182.00000000000003</v>
      </c>
      <c r="J9" s="373">
        <f t="shared" si="4"/>
        <v>199.68797648396719</v>
      </c>
      <c r="K9" s="374">
        <f>SUM(K5:K8)</f>
        <v>4368.0000000000009</v>
      </c>
      <c r="L9" s="375">
        <f t="shared" ref="L9" si="5">SUM(L5:L8)</f>
        <v>4368.0000000000009</v>
      </c>
      <c r="M9" s="277"/>
      <c r="N9" s="277"/>
      <c r="O9" s="310">
        <f t="shared" ref="O9" si="6">SUM(O5:O8)</f>
        <v>1290962.4000000001</v>
      </c>
      <c r="P9" s="427" t="s">
        <v>72</v>
      </c>
      <c r="Q9" s="428"/>
      <c r="R9" s="428"/>
      <c r="S9" s="428"/>
      <c r="T9" s="155"/>
      <c r="U9" s="155"/>
      <c r="V9" s="155"/>
    </row>
    <row r="10" spans="1:22" ht="32.25" thickBot="1" x14ac:dyDescent="0.3">
      <c r="B10" s="313" t="s">
        <v>217</v>
      </c>
      <c r="C10" s="278"/>
      <c r="D10" s="211"/>
      <c r="E10" s="211"/>
      <c r="F10" s="256"/>
      <c r="G10" s="256"/>
      <c r="H10" s="303">
        <f>(D10*2/3)+(E10*1/3)</f>
        <v>0</v>
      </c>
      <c r="I10" s="212">
        <f>I9*H10%</f>
        <v>0</v>
      </c>
      <c r="J10" s="279">
        <f>I10*1000*22.4/2.01</f>
        <v>0</v>
      </c>
      <c r="K10" s="351">
        <f>I10*24</f>
        <v>0</v>
      </c>
      <c r="L10" s="303">
        <f>L9*H10%</f>
        <v>0</v>
      </c>
      <c r="M10" s="280"/>
      <c r="N10" s="280"/>
      <c r="O10" s="281"/>
      <c r="P10" s="423" t="s">
        <v>73</v>
      </c>
      <c r="Q10" s="424"/>
      <c r="R10" s="453"/>
      <c r="S10" s="424"/>
      <c r="T10" s="21"/>
      <c r="U10" s="21"/>
      <c r="V10" s="21"/>
    </row>
    <row r="11" spans="1:22" ht="18.75" thickBot="1" x14ac:dyDescent="0.3">
      <c r="B11" s="314" t="s">
        <v>210</v>
      </c>
      <c r="C11" s="282" t="s">
        <v>168</v>
      </c>
      <c r="D11" s="253">
        <f>D9+D10</f>
        <v>100</v>
      </c>
      <c r="E11" s="253">
        <f t="shared" ref="E11:L11" si="7">E9+E10</f>
        <v>100</v>
      </c>
      <c r="F11" s="197"/>
      <c r="G11" s="197"/>
      <c r="H11" s="304">
        <f t="shared" si="7"/>
        <v>100.00000000000001</v>
      </c>
      <c r="I11" s="253">
        <f t="shared" si="7"/>
        <v>182.00000000000003</v>
      </c>
      <c r="J11" s="198"/>
      <c r="K11" s="344">
        <f>K9+K10</f>
        <v>4368.0000000000009</v>
      </c>
      <c r="L11" s="357">
        <f t="shared" si="7"/>
        <v>4368.0000000000009</v>
      </c>
      <c r="M11" s="205"/>
      <c r="N11" s="205"/>
      <c r="O11" s="206"/>
      <c r="P11" s="162"/>
      <c r="Q11" s="158"/>
      <c r="R11" s="157"/>
      <c r="S11" s="158"/>
      <c r="T11" s="21"/>
      <c r="U11" s="21"/>
      <c r="V11" s="21"/>
    </row>
    <row r="12" spans="1:22" ht="60.75" thickBot="1" x14ac:dyDescent="0.3">
      <c r="B12" s="475" t="s">
        <v>21</v>
      </c>
      <c r="C12" s="130" t="s">
        <v>177</v>
      </c>
      <c r="D12" s="130" t="s">
        <v>60</v>
      </c>
      <c r="E12" s="130" t="s">
        <v>61</v>
      </c>
      <c r="F12" s="130" t="s">
        <v>202</v>
      </c>
      <c r="G12" s="130" t="s">
        <v>203</v>
      </c>
      <c r="H12" s="130" t="s">
        <v>204</v>
      </c>
      <c r="I12" s="411" t="s">
        <v>162</v>
      </c>
      <c r="J12" s="412"/>
      <c r="K12" s="412"/>
      <c r="L12" s="130" t="s">
        <v>157</v>
      </c>
      <c r="M12" s="130" t="s">
        <v>152</v>
      </c>
      <c r="N12" s="130" t="s">
        <v>216</v>
      </c>
      <c r="O12" s="132" t="s">
        <v>163</v>
      </c>
      <c r="P12" s="454" t="s">
        <v>75</v>
      </c>
      <c r="Q12" s="455"/>
      <c r="R12" s="456">
        <v>1</v>
      </c>
      <c r="S12" s="457"/>
      <c r="T12" s="161">
        <v>1</v>
      </c>
      <c r="U12" s="161">
        <v>1</v>
      </c>
      <c r="V12" s="161">
        <v>1</v>
      </c>
    </row>
    <row r="13" spans="1:22" ht="30.75" thickBot="1" x14ac:dyDescent="0.3">
      <c r="B13" s="476"/>
      <c r="C13" s="110" t="s">
        <v>111</v>
      </c>
      <c r="D13" s="295" t="s">
        <v>140</v>
      </c>
      <c r="E13" s="295" t="s">
        <v>140</v>
      </c>
      <c r="F13" s="295" t="s">
        <v>140</v>
      </c>
      <c r="G13" s="295" t="s">
        <v>140</v>
      </c>
      <c r="H13" s="295" t="s">
        <v>159</v>
      </c>
      <c r="I13" s="257" t="s">
        <v>109</v>
      </c>
      <c r="J13" s="257" t="s">
        <v>178</v>
      </c>
      <c r="K13" s="258" t="s">
        <v>139</v>
      </c>
      <c r="L13" s="295" t="s">
        <v>139</v>
      </c>
      <c r="M13" s="295" t="s">
        <v>146</v>
      </c>
      <c r="N13" s="295" t="s">
        <v>149</v>
      </c>
      <c r="O13" s="337" t="s">
        <v>151</v>
      </c>
      <c r="P13" s="22"/>
      <c r="Q13" s="23"/>
      <c r="R13" s="160"/>
      <c r="S13" s="161"/>
      <c r="T13" s="161"/>
      <c r="U13" s="161"/>
      <c r="V13" s="161"/>
    </row>
    <row r="14" spans="1:22" ht="16.5" thickBot="1" x14ac:dyDescent="0.3">
      <c r="A14" s="219" t="s">
        <v>32</v>
      </c>
      <c r="B14" s="315" t="s">
        <v>65</v>
      </c>
      <c r="C14" s="283"/>
      <c r="D14" s="332"/>
      <c r="E14" s="332"/>
      <c r="F14" s="284">
        <f>D14*100/$D$23</f>
        <v>0</v>
      </c>
      <c r="G14" s="284">
        <f>E14*100/$E$23</f>
        <v>0</v>
      </c>
      <c r="H14" s="285">
        <f>(F14*2/3)+(G14*1/3)</f>
        <v>0</v>
      </c>
      <c r="I14" s="285">
        <f>$L$11*H14%/24</f>
        <v>0</v>
      </c>
      <c r="J14" s="285"/>
      <c r="K14" s="285">
        <f>I14*24</f>
        <v>0</v>
      </c>
      <c r="L14" s="353">
        <f>I14*24</f>
        <v>0</v>
      </c>
      <c r="M14" s="286">
        <v>0</v>
      </c>
      <c r="N14" s="287">
        <v>1000</v>
      </c>
      <c r="O14" s="288">
        <f>L14*M14*N14</f>
        <v>0</v>
      </c>
      <c r="P14" s="22"/>
      <c r="Q14" s="23"/>
      <c r="R14" s="160"/>
      <c r="S14" s="161"/>
      <c r="T14" s="161"/>
      <c r="U14" s="161"/>
      <c r="V14" s="161"/>
    </row>
    <row r="15" spans="1:22" ht="16.5" thickBot="1" x14ac:dyDescent="0.3">
      <c r="A15" s="219" t="s">
        <v>188</v>
      </c>
      <c r="B15" s="316" t="s">
        <v>69</v>
      </c>
      <c r="C15" s="280"/>
      <c r="D15" s="333"/>
      <c r="E15" s="333"/>
      <c r="F15" s="376">
        <f t="shared" ref="F15:F22" si="8">D15*100/$D$23</f>
        <v>0</v>
      </c>
      <c r="G15" s="376">
        <f t="shared" ref="G15:G22" si="9">E15*100/$E$23</f>
        <v>0</v>
      </c>
      <c r="H15" s="285">
        <f t="shared" ref="H15:H22" si="10">(F15*2/3)+(G15*1/3)</f>
        <v>0</v>
      </c>
      <c r="I15" s="285">
        <f t="shared" ref="I15:I21" si="11">$L$11*H15%/24</f>
        <v>0</v>
      </c>
      <c r="J15" s="290"/>
      <c r="K15" s="285">
        <f t="shared" ref="K15:K21" si="12">I15*24</f>
        <v>0</v>
      </c>
      <c r="L15" s="353">
        <f t="shared" ref="L15:L22" si="13">I15*24</f>
        <v>0</v>
      </c>
      <c r="M15" s="291">
        <v>13306</v>
      </c>
      <c r="N15" s="287">
        <v>1000</v>
      </c>
      <c r="O15" s="311">
        <f>L15*M15*N15/100000</f>
        <v>0</v>
      </c>
      <c r="P15" s="22"/>
      <c r="Q15" s="23"/>
      <c r="R15" s="160"/>
      <c r="S15" s="161"/>
      <c r="T15" s="161"/>
      <c r="U15" s="161"/>
      <c r="V15" s="161"/>
    </row>
    <row r="16" spans="1:22" ht="16.5" thickBot="1" x14ac:dyDescent="0.3">
      <c r="A16" s="219" t="s">
        <v>189</v>
      </c>
      <c r="B16" s="316" t="s">
        <v>70</v>
      </c>
      <c r="C16" s="266">
        <v>550</v>
      </c>
      <c r="D16" s="334"/>
      <c r="E16" s="334"/>
      <c r="F16" s="284">
        <f t="shared" si="8"/>
        <v>0</v>
      </c>
      <c r="G16" s="284">
        <f t="shared" si="9"/>
        <v>0</v>
      </c>
      <c r="H16" s="285">
        <f t="shared" si="10"/>
        <v>0</v>
      </c>
      <c r="I16" s="285">
        <f t="shared" si="11"/>
        <v>0</v>
      </c>
      <c r="J16" s="290">
        <f>I16*1000/C16</f>
        <v>0</v>
      </c>
      <c r="K16" s="285">
        <f t="shared" si="12"/>
        <v>0</v>
      </c>
      <c r="L16" s="353">
        <f t="shared" si="13"/>
        <v>0</v>
      </c>
      <c r="M16" s="291">
        <v>34951</v>
      </c>
      <c r="N16" s="287">
        <v>1000</v>
      </c>
      <c r="O16" s="311">
        <f t="shared" ref="O16:O20" si="14">L16*M16*N16/100000</f>
        <v>0</v>
      </c>
      <c r="P16" s="22"/>
      <c r="Q16" s="23"/>
      <c r="R16" s="160"/>
      <c r="S16" s="161"/>
      <c r="T16" s="161"/>
      <c r="U16" s="161"/>
      <c r="V16" s="161"/>
    </row>
    <row r="17" spans="1:25" ht="19.899999999999999" customHeight="1" thickBot="1" x14ac:dyDescent="0.3">
      <c r="A17" s="219" t="s">
        <v>190</v>
      </c>
      <c r="B17" s="316" t="s">
        <v>153</v>
      </c>
      <c r="C17" s="266">
        <v>700</v>
      </c>
      <c r="D17" s="334"/>
      <c r="E17" s="334"/>
      <c r="F17" s="376">
        <f t="shared" si="8"/>
        <v>0</v>
      </c>
      <c r="G17" s="376">
        <f t="shared" si="9"/>
        <v>0</v>
      </c>
      <c r="H17" s="285">
        <f t="shared" si="10"/>
        <v>0</v>
      </c>
      <c r="I17" s="285">
        <f t="shared" si="11"/>
        <v>0</v>
      </c>
      <c r="J17" s="290">
        <f t="shared" ref="J17:J21" si="15">I17*1000/C17</f>
        <v>0</v>
      </c>
      <c r="K17" s="285">
        <f t="shared" si="12"/>
        <v>0</v>
      </c>
      <c r="L17" s="353">
        <f t="shared" si="13"/>
        <v>0</v>
      </c>
      <c r="M17" s="291">
        <v>40807</v>
      </c>
      <c r="N17" s="287">
        <v>1000</v>
      </c>
      <c r="O17" s="311">
        <f t="shared" si="14"/>
        <v>0</v>
      </c>
      <c r="P17" s="22"/>
      <c r="Q17" s="23"/>
      <c r="R17" s="160"/>
      <c r="S17" s="161"/>
      <c r="T17" s="161"/>
      <c r="U17" s="161"/>
      <c r="V17" s="161"/>
    </row>
    <row r="18" spans="1:25" ht="19.899999999999999" customHeight="1" x14ac:dyDescent="0.25">
      <c r="A18" s="219" t="s">
        <v>191</v>
      </c>
      <c r="B18" s="317" t="s">
        <v>154</v>
      </c>
      <c r="C18" s="265">
        <v>750</v>
      </c>
      <c r="D18" s="334"/>
      <c r="E18" s="334"/>
      <c r="F18" s="284">
        <f t="shared" si="8"/>
        <v>0</v>
      </c>
      <c r="G18" s="284">
        <f t="shared" si="9"/>
        <v>0</v>
      </c>
      <c r="H18" s="285">
        <f t="shared" si="10"/>
        <v>0</v>
      </c>
      <c r="I18" s="285">
        <f t="shared" si="11"/>
        <v>0</v>
      </c>
      <c r="J18" s="290">
        <f t="shared" si="15"/>
        <v>0</v>
      </c>
      <c r="K18" s="285">
        <f t="shared" si="12"/>
        <v>0</v>
      </c>
      <c r="L18" s="353">
        <f t="shared" si="13"/>
        <v>0</v>
      </c>
      <c r="M18" s="291">
        <v>40807</v>
      </c>
      <c r="N18" s="287">
        <v>1000</v>
      </c>
      <c r="O18" s="311">
        <f t="shared" si="14"/>
        <v>0</v>
      </c>
      <c r="P18" s="421" t="s">
        <v>77</v>
      </c>
      <c r="Q18" s="422"/>
      <c r="R18" s="458" t="s">
        <v>78</v>
      </c>
      <c r="S18" s="422"/>
      <c r="T18" s="161" t="s">
        <v>79</v>
      </c>
      <c r="U18" s="161">
        <v>100</v>
      </c>
      <c r="V18" s="161">
        <v>100</v>
      </c>
    </row>
    <row r="19" spans="1:25" ht="19.899999999999999" customHeight="1" x14ac:dyDescent="0.25">
      <c r="A19" s="219" t="s">
        <v>192</v>
      </c>
      <c r="B19" s="317" t="s">
        <v>156</v>
      </c>
      <c r="C19" s="265">
        <v>810</v>
      </c>
      <c r="D19" s="334"/>
      <c r="E19" s="334"/>
      <c r="F19" s="376">
        <f t="shared" si="8"/>
        <v>0</v>
      </c>
      <c r="G19" s="376">
        <f t="shared" si="9"/>
        <v>0</v>
      </c>
      <c r="H19" s="285">
        <f t="shared" si="10"/>
        <v>0</v>
      </c>
      <c r="I19" s="285">
        <f t="shared" si="11"/>
        <v>0</v>
      </c>
      <c r="J19" s="290">
        <f t="shared" si="15"/>
        <v>0</v>
      </c>
      <c r="K19" s="285">
        <f t="shared" si="12"/>
        <v>0</v>
      </c>
      <c r="L19" s="353">
        <f t="shared" si="13"/>
        <v>0</v>
      </c>
      <c r="M19" s="291">
        <v>41587</v>
      </c>
      <c r="N19" s="287">
        <v>1000</v>
      </c>
      <c r="O19" s="311">
        <f t="shared" si="14"/>
        <v>0</v>
      </c>
      <c r="P19" s="427"/>
      <c r="Q19" s="428"/>
      <c r="R19" s="428"/>
      <c r="S19" s="428"/>
      <c r="T19" s="428"/>
      <c r="U19" s="428"/>
      <c r="V19" s="428"/>
    </row>
    <row r="20" spans="1:25" ht="19.899999999999999" customHeight="1" x14ac:dyDescent="0.25">
      <c r="A20" s="219" t="s">
        <v>193</v>
      </c>
      <c r="B20" s="317" t="s">
        <v>74</v>
      </c>
      <c r="C20" s="265">
        <v>840</v>
      </c>
      <c r="D20" s="334"/>
      <c r="E20" s="334"/>
      <c r="F20" s="376">
        <f t="shared" si="8"/>
        <v>0</v>
      </c>
      <c r="G20" s="376">
        <f t="shared" si="9"/>
        <v>0</v>
      </c>
      <c r="H20" s="285">
        <f t="shared" si="10"/>
        <v>0</v>
      </c>
      <c r="I20" s="285">
        <f t="shared" si="11"/>
        <v>0</v>
      </c>
      <c r="J20" s="290">
        <f t="shared" si="15"/>
        <v>0</v>
      </c>
      <c r="K20" s="285">
        <f t="shared" si="12"/>
        <v>0</v>
      </c>
      <c r="L20" s="353">
        <f t="shared" si="13"/>
        <v>0</v>
      </c>
      <c r="M20" s="291">
        <v>41587</v>
      </c>
      <c r="N20" s="287">
        <v>1000</v>
      </c>
      <c r="O20" s="311">
        <f t="shared" si="14"/>
        <v>0</v>
      </c>
      <c r="P20" s="159"/>
      <c r="Q20" s="155"/>
      <c r="R20" s="155"/>
      <c r="S20" s="155"/>
      <c r="T20" s="155"/>
      <c r="U20" s="155"/>
      <c r="V20" s="155"/>
    </row>
    <row r="21" spans="1:25" ht="19.899999999999999" customHeight="1" thickBot="1" x14ac:dyDescent="0.3">
      <c r="A21" s="219" t="s">
        <v>194</v>
      </c>
      <c r="B21" s="318" t="s">
        <v>155</v>
      </c>
      <c r="C21" s="266">
        <v>840</v>
      </c>
      <c r="D21" s="334">
        <v>1</v>
      </c>
      <c r="E21" s="334">
        <v>1</v>
      </c>
      <c r="F21" s="289">
        <f t="shared" si="8"/>
        <v>100</v>
      </c>
      <c r="G21" s="289">
        <f t="shared" si="9"/>
        <v>100</v>
      </c>
      <c r="H21" s="290">
        <f t="shared" si="10"/>
        <v>100</v>
      </c>
      <c r="I21" s="285">
        <f t="shared" si="11"/>
        <v>182.00000000000003</v>
      </c>
      <c r="J21" s="290">
        <f t="shared" si="15"/>
        <v>216.66666666666671</v>
      </c>
      <c r="K21" s="290">
        <f t="shared" si="12"/>
        <v>4368.0000000000009</v>
      </c>
      <c r="L21" s="353">
        <f t="shared" si="13"/>
        <v>4368.0000000000009</v>
      </c>
      <c r="M21" s="292">
        <v>29555</v>
      </c>
      <c r="N21" s="286">
        <v>1000</v>
      </c>
      <c r="O21" s="312">
        <f>L21*M21*N21/100000</f>
        <v>1290962.4000000004</v>
      </c>
      <c r="P21" s="159"/>
      <c r="Q21" s="155"/>
      <c r="R21" s="155"/>
      <c r="S21" s="155"/>
      <c r="T21" s="155"/>
      <c r="U21" s="155"/>
      <c r="V21" s="155"/>
    </row>
    <row r="22" spans="1:25" ht="19.899999999999999" hidden="1" customHeight="1" x14ac:dyDescent="0.25">
      <c r="A22" s="223" t="s">
        <v>201</v>
      </c>
      <c r="B22" s="319" t="s">
        <v>205</v>
      </c>
      <c r="C22" s="293"/>
      <c r="D22" s="305">
        <v>0</v>
      </c>
      <c r="E22" s="305">
        <v>0</v>
      </c>
      <c r="F22" s="306">
        <f t="shared" si="8"/>
        <v>0</v>
      </c>
      <c r="G22" s="306">
        <f t="shared" si="9"/>
        <v>0</v>
      </c>
      <c r="H22" s="306">
        <f t="shared" si="10"/>
        <v>0</v>
      </c>
      <c r="I22" s="359">
        <f>$L$11*H22%/24</f>
        <v>0</v>
      </c>
      <c r="J22" s="307"/>
      <c r="K22" s="308">
        <f>I22*24</f>
        <v>0</v>
      </c>
      <c r="L22" s="354">
        <f t="shared" si="13"/>
        <v>0</v>
      </c>
      <c r="M22" s="294"/>
      <c r="N22" s="295"/>
      <c r="O22" s="296"/>
      <c r="P22" s="159"/>
      <c r="Q22" s="155"/>
      <c r="R22" s="155"/>
      <c r="S22" s="155"/>
      <c r="T22" s="155"/>
      <c r="U22" s="155"/>
      <c r="V22" s="155"/>
    </row>
    <row r="23" spans="1:25" ht="27.6" customHeight="1" thickBot="1" x14ac:dyDescent="0.3">
      <c r="A23" s="254"/>
      <c r="B23" s="297" t="s">
        <v>211</v>
      </c>
      <c r="C23" s="298" t="s">
        <v>169</v>
      </c>
      <c r="D23" s="335">
        <f>SUM(D14:D22)</f>
        <v>1</v>
      </c>
      <c r="E23" s="335">
        <f t="shared" ref="E23:F23" si="16">SUM(E14:E22)</f>
        <v>1</v>
      </c>
      <c r="F23" s="336">
        <f t="shared" si="16"/>
        <v>100</v>
      </c>
      <c r="G23" s="336">
        <f>SUM(G14:G22)</f>
        <v>100</v>
      </c>
      <c r="H23" s="336">
        <f>SUM(H14:H22)</f>
        <v>100</v>
      </c>
      <c r="I23" s="335">
        <f>SUM(I14:I22)</f>
        <v>182.00000000000003</v>
      </c>
      <c r="J23" s="336"/>
      <c r="K23" s="347">
        <f t="shared" ref="K23:L23" si="17">SUM(K14:K22)</f>
        <v>4368.0000000000009</v>
      </c>
      <c r="L23" s="358">
        <f t="shared" si="17"/>
        <v>4368.0000000000009</v>
      </c>
      <c r="M23" s="299"/>
      <c r="N23" s="299"/>
      <c r="O23" s="300">
        <f t="shared" ref="O23" si="18">SUM(O14:O21)</f>
        <v>1290962.4000000004</v>
      </c>
      <c r="P23" s="155"/>
      <c r="Q23" s="155"/>
      <c r="R23" s="155"/>
      <c r="S23" s="155"/>
      <c r="T23" s="155"/>
      <c r="U23" s="155"/>
      <c r="V23" s="155"/>
    </row>
    <row r="24" spans="1:25" ht="18.600000000000001" customHeight="1" thickBot="1" x14ac:dyDescent="0.3">
      <c r="A24" s="255"/>
      <c r="B24" s="338" t="s">
        <v>212</v>
      </c>
      <c r="C24" s="339" t="s">
        <v>172</v>
      </c>
      <c r="D24" s="340">
        <f>D11-D23</f>
        <v>99</v>
      </c>
      <c r="E24" s="341">
        <f>E11-E23</f>
        <v>99</v>
      </c>
      <c r="F24" s="342"/>
      <c r="G24" s="342"/>
      <c r="H24" s="341"/>
      <c r="I24" s="343">
        <f>I11-I23</f>
        <v>0</v>
      </c>
      <c r="J24" s="250"/>
      <c r="K24" s="345"/>
      <c r="L24" s="346"/>
      <c r="M24" s="251"/>
      <c r="N24" s="251"/>
      <c r="O24" s="252"/>
      <c r="P24" s="155"/>
      <c r="Q24" s="155"/>
      <c r="R24" s="155"/>
      <c r="S24" s="155"/>
      <c r="T24" s="155"/>
      <c r="U24" s="155"/>
      <c r="V24" s="155"/>
    </row>
    <row r="25" spans="1:25" ht="15.75" hidden="1" thickBot="1" x14ac:dyDescent="0.3">
      <c r="A25" s="222"/>
      <c r="B25" s="321" t="s">
        <v>47</v>
      </c>
      <c r="C25" s="259" t="s">
        <v>173</v>
      </c>
      <c r="D25" s="260">
        <f>D11-(D23+D24)</f>
        <v>0</v>
      </c>
      <c r="E25" s="260">
        <f t="shared" ref="E25:I25" si="19">E11-(E23+E24)</f>
        <v>0</v>
      </c>
      <c r="F25" s="260"/>
      <c r="G25" s="260"/>
      <c r="H25" s="260"/>
      <c r="I25" s="260">
        <f t="shared" si="19"/>
        <v>0</v>
      </c>
      <c r="J25" s="260"/>
      <c r="K25" s="260">
        <f t="shared" ref="K25:L25" si="20">K23-K11</f>
        <v>0</v>
      </c>
      <c r="L25" s="260">
        <f t="shared" si="20"/>
        <v>0</v>
      </c>
      <c r="M25" s="261"/>
      <c r="N25" s="261"/>
      <c r="O25" s="261"/>
    </row>
    <row r="26" spans="1:25" ht="15.75" hidden="1" thickBot="1" x14ac:dyDescent="0.3">
      <c r="A26" s="323"/>
      <c r="B26" s="324"/>
      <c r="C26" s="325"/>
      <c r="D26" s="326"/>
      <c r="E26" s="326"/>
      <c r="F26" s="326"/>
      <c r="G26" s="326"/>
      <c r="H26" s="326"/>
      <c r="I26" s="327"/>
      <c r="J26" s="326"/>
      <c r="K26" s="326"/>
      <c r="L26" s="326"/>
      <c r="M26" s="328"/>
      <c r="N26" s="328"/>
      <c r="O26" s="328"/>
    </row>
    <row r="27" spans="1:25" ht="18" x14ac:dyDescent="0.25">
      <c r="A27" s="329"/>
      <c r="B27" s="471" t="s">
        <v>196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2"/>
    </row>
    <row r="28" spans="1:25" ht="20.25" x14ac:dyDescent="0.3">
      <c r="A28" s="330"/>
      <c r="B28" s="469" t="s">
        <v>213</v>
      </c>
      <c r="C28" s="469"/>
      <c r="D28" s="469"/>
      <c r="E28" s="469"/>
      <c r="F28" s="469"/>
      <c r="G28" s="262" t="s">
        <v>168</v>
      </c>
      <c r="H28" s="473">
        <f>O23</f>
        <v>1290962.4000000004</v>
      </c>
      <c r="I28" s="473"/>
      <c r="J28" s="473"/>
      <c r="K28" s="473"/>
      <c r="L28" s="473"/>
      <c r="M28" s="473"/>
      <c r="N28" s="473"/>
      <c r="O28" s="474"/>
      <c r="X28" s="378"/>
      <c r="Y28" s="378"/>
    </row>
    <row r="29" spans="1:25" ht="20.25" x14ac:dyDescent="0.3">
      <c r="A29" s="330"/>
      <c r="B29" s="469" t="s">
        <v>214</v>
      </c>
      <c r="C29" s="469"/>
      <c r="D29" s="469"/>
      <c r="E29" s="469"/>
      <c r="F29" s="469"/>
      <c r="G29" s="262" t="s">
        <v>169</v>
      </c>
      <c r="H29" s="473">
        <f>O9</f>
        <v>1290962.4000000001</v>
      </c>
      <c r="I29" s="473"/>
      <c r="J29" s="473"/>
      <c r="K29" s="473"/>
      <c r="L29" s="473"/>
      <c r="M29" s="473"/>
      <c r="N29" s="473"/>
      <c r="O29" s="474"/>
      <c r="X29" s="378"/>
      <c r="Y29" s="378"/>
    </row>
    <row r="30" spans="1:25" ht="20.25" x14ac:dyDescent="0.3">
      <c r="A30" s="330"/>
      <c r="B30" s="469" t="s">
        <v>215</v>
      </c>
      <c r="C30" s="469"/>
      <c r="D30" s="469"/>
      <c r="E30" s="469"/>
      <c r="F30" s="469"/>
      <c r="G30" s="263" t="s">
        <v>172</v>
      </c>
      <c r="H30" s="463"/>
      <c r="I30" s="463"/>
      <c r="J30" s="463"/>
      <c r="K30" s="463"/>
      <c r="L30" s="463"/>
      <c r="M30" s="463"/>
      <c r="N30" s="463"/>
      <c r="O30" s="464"/>
      <c r="X30" s="379"/>
      <c r="Y30" s="378"/>
    </row>
    <row r="31" spans="1:25" ht="28.5" thickBot="1" x14ac:dyDescent="0.45">
      <c r="A31" s="331"/>
      <c r="B31" s="470" t="s">
        <v>54</v>
      </c>
      <c r="C31" s="470"/>
      <c r="D31" s="470"/>
      <c r="E31" s="470"/>
      <c r="F31" s="470"/>
      <c r="G31" s="322" t="s">
        <v>173</v>
      </c>
      <c r="H31" s="465">
        <f>H28-H29-H30</f>
        <v>2.3283064365386963E-10</v>
      </c>
      <c r="I31" s="466"/>
      <c r="J31" s="466"/>
      <c r="K31" s="466"/>
      <c r="L31" s="466"/>
      <c r="M31" s="466"/>
      <c r="N31" s="466"/>
      <c r="O31" s="467"/>
      <c r="W31" s="361" t="s">
        <v>209</v>
      </c>
      <c r="X31" s="378"/>
      <c r="Y31" s="378"/>
    </row>
    <row r="35" spans="2:6" ht="18.75" x14ac:dyDescent="0.3">
      <c r="B35" s="386" t="s">
        <v>221</v>
      </c>
      <c r="C35" s="388"/>
      <c r="D35" s="388"/>
      <c r="E35" s="388"/>
      <c r="F35" s="389" t="s">
        <v>226</v>
      </c>
    </row>
    <row r="36" spans="2:6" ht="18.75" x14ac:dyDescent="0.3">
      <c r="B36" s="385" t="s">
        <v>69</v>
      </c>
      <c r="C36" s="386"/>
      <c r="D36" s="387">
        <v>0.01</v>
      </c>
      <c r="E36" s="391" t="s">
        <v>224</v>
      </c>
      <c r="F36" s="390">
        <f>H15</f>
        <v>0</v>
      </c>
    </row>
    <row r="37" spans="2:6" ht="18.75" x14ac:dyDescent="0.3">
      <c r="B37" s="385" t="s">
        <v>222</v>
      </c>
      <c r="C37" s="386"/>
      <c r="D37" s="387">
        <v>0.105</v>
      </c>
      <c r="E37" s="391" t="s">
        <v>224</v>
      </c>
      <c r="F37" s="390">
        <f>H17</f>
        <v>0</v>
      </c>
    </row>
    <row r="38" spans="2:6" ht="18.75" x14ac:dyDescent="0.3">
      <c r="B38" s="385" t="s">
        <v>220</v>
      </c>
      <c r="C38" s="386"/>
      <c r="D38" s="387">
        <v>0.83499999999999996</v>
      </c>
      <c r="E38" s="391" t="s">
        <v>225</v>
      </c>
      <c r="F38" s="390">
        <f>H19+H20</f>
        <v>0</v>
      </c>
    </row>
    <row r="39" spans="2:6" ht="18.75" x14ac:dyDescent="0.3">
      <c r="B39" s="385" t="s">
        <v>223</v>
      </c>
      <c r="C39" s="386"/>
      <c r="D39" s="387">
        <v>0.35</v>
      </c>
      <c r="E39" s="391" t="s">
        <v>224</v>
      </c>
      <c r="F39" s="390">
        <f>H19</f>
        <v>0</v>
      </c>
    </row>
  </sheetData>
  <mergeCells count="35">
    <mergeCell ref="P18:Q18"/>
    <mergeCell ref="R18:S18"/>
    <mergeCell ref="B30:F30"/>
    <mergeCell ref="H30:O30"/>
    <mergeCell ref="B31:F31"/>
    <mergeCell ref="H31:O31"/>
    <mergeCell ref="P19:V19"/>
    <mergeCell ref="B27:O27"/>
    <mergeCell ref="B28:F28"/>
    <mergeCell ref="H28:O28"/>
    <mergeCell ref="B29:F29"/>
    <mergeCell ref="H29:O29"/>
    <mergeCell ref="P10:Q10"/>
    <mergeCell ref="R10:S10"/>
    <mergeCell ref="B12:B13"/>
    <mergeCell ref="I12:K12"/>
    <mergeCell ref="P12:Q12"/>
    <mergeCell ref="R12:S12"/>
    <mergeCell ref="P7:Q7"/>
    <mergeCell ref="R7:S7"/>
    <mergeCell ref="P8:Q8"/>
    <mergeCell ref="R8:S8"/>
    <mergeCell ref="P9:Q9"/>
    <mergeCell ref="R9:S9"/>
    <mergeCell ref="P5:Q5"/>
    <mergeCell ref="R5:S5"/>
    <mergeCell ref="P6:Q6"/>
    <mergeCell ref="R6:S6"/>
    <mergeCell ref="P4:Q4"/>
    <mergeCell ref="R4:S4"/>
    <mergeCell ref="B2:O2"/>
    <mergeCell ref="I3:K3"/>
    <mergeCell ref="P3:Q3"/>
    <mergeCell ref="R3:T3"/>
    <mergeCell ref="U3:V3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9"/>
  <sheetViews>
    <sheetView topLeftCell="A14" zoomScale="79" zoomScaleNormal="79" workbookViewId="0">
      <selection activeCell="E21" sqref="E21"/>
    </sheetView>
  </sheetViews>
  <sheetFormatPr defaultRowHeight="15" x14ac:dyDescent="0.25"/>
  <cols>
    <col min="1" max="1" width="3.28515625" customWidth="1"/>
    <col min="2" max="2" width="25.85546875" customWidth="1"/>
    <col min="3" max="3" width="9" hidden="1" customWidth="1"/>
    <col min="4" max="4" width="10" customWidth="1"/>
    <col min="5" max="5" width="9.7109375" customWidth="1"/>
    <col min="6" max="6" width="9.85546875" customWidth="1"/>
    <col min="7" max="7" width="10" customWidth="1"/>
    <col min="8" max="8" width="12.7109375" customWidth="1"/>
    <col min="9" max="9" width="9.85546875" customWidth="1"/>
    <col min="10" max="10" width="9.140625" hidden="1" customWidth="1"/>
    <col min="11" max="11" width="9.5703125" hidden="1" customWidth="1"/>
    <col min="12" max="12" width="12.28515625" customWidth="1"/>
    <col min="13" max="13" width="10.140625" customWidth="1"/>
    <col min="14" max="14" width="12.140625" customWidth="1"/>
    <col min="15" max="15" width="15.710937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2" ht="24" thickBot="1" x14ac:dyDescent="0.3">
      <c r="B2" s="468" t="s">
        <v>206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22" ht="60" x14ac:dyDescent="0.25">
      <c r="B3" s="320" t="s">
        <v>0</v>
      </c>
      <c r="C3" s="178" t="s">
        <v>177</v>
      </c>
      <c r="D3" s="64" t="s">
        <v>60</v>
      </c>
      <c r="E3" s="64" t="s">
        <v>61</v>
      </c>
      <c r="F3" s="64"/>
      <c r="G3" s="64"/>
      <c r="H3" s="64" t="s">
        <v>160</v>
      </c>
      <c r="I3" s="411" t="s">
        <v>158</v>
      </c>
      <c r="J3" s="412"/>
      <c r="K3" s="412"/>
      <c r="L3" s="64" t="s">
        <v>166</v>
      </c>
      <c r="M3" s="64" t="s">
        <v>152</v>
      </c>
      <c r="N3" s="64" t="s">
        <v>207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2" ht="30" x14ac:dyDescent="0.25">
      <c r="B4" s="264"/>
      <c r="C4" s="265" t="s">
        <v>111</v>
      </c>
      <c r="D4" s="266" t="s">
        <v>140</v>
      </c>
      <c r="E4" s="266" t="s">
        <v>140</v>
      </c>
      <c r="F4" s="266"/>
      <c r="G4" s="266"/>
      <c r="H4" s="266" t="s">
        <v>159</v>
      </c>
      <c r="I4" s="266" t="s">
        <v>109</v>
      </c>
      <c r="J4" s="266" t="s">
        <v>178</v>
      </c>
      <c r="K4" s="267" t="s">
        <v>139</v>
      </c>
      <c r="L4" s="266" t="s">
        <v>139</v>
      </c>
      <c r="M4" s="266" t="s">
        <v>146</v>
      </c>
      <c r="N4" s="266" t="s">
        <v>149</v>
      </c>
      <c r="O4" s="268" t="s">
        <v>151</v>
      </c>
      <c r="P4" s="445"/>
      <c r="Q4" s="429"/>
      <c r="R4" s="429" t="s">
        <v>60</v>
      </c>
      <c r="S4" s="429"/>
      <c r="T4" s="367" t="s">
        <v>61</v>
      </c>
      <c r="U4" s="367" t="s">
        <v>60</v>
      </c>
      <c r="V4" s="367" t="s">
        <v>61</v>
      </c>
    </row>
    <row r="5" spans="1:22" ht="15.75" x14ac:dyDescent="0.25">
      <c r="B5" s="269" t="s">
        <v>99</v>
      </c>
      <c r="C5" s="265">
        <v>880</v>
      </c>
      <c r="D5" s="266">
        <v>13.5</v>
      </c>
      <c r="E5" s="266">
        <v>13.5</v>
      </c>
      <c r="F5" s="266"/>
      <c r="G5" s="266"/>
      <c r="H5" s="301">
        <f>(D5*2/3)+(E5*1/3)</f>
        <v>13.5</v>
      </c>
      <c r="I5" s="270">
        <f>182*H5%</f>
        <v>24.57</v>
      </c>
      <c r="J5" s="270">
        <f>I5*1000/C5</f>
        <v>27.920454545454547</v>
      </c>
      <c r="K5" s="349">
        <f>I5*24</f>
        <v>589.68000000000006</v>
      </c>
      <c r="L5" s="355">
        <f>I5*24</f>
        <v>589.68000000000006</v>
      </c>
      <c r="M5" s="352">
        <v>29555</v>
      </c>
      <c r="N5" s="271">
        <v>1000</v>
      </c>
      <c r="O5" s="309">
        <f>L5*M5*N5/100000</f>
        <v>174279.92400000003</v>
      </c>
      <c r="P5" s="425" t="s">
        <v>65</v>
      </c>
      <c r="Q5" s="426"/>
      <c r="R5" s="428"/>
      <c r="S5" s="428"/>
      <c r="T5" s="366"/>
      <c r="U5" s="366"/>
      <c r="V5" s="366"/>
    </row>
    <row r="6" spans="1:22" ht="15.75" x14ac:dyDescent="0.25">
      <c r="B6" s="272" t="s">
        <v>100</v>
      </c>
      <c r="C6" s="273">
        <v>965</v>
      </c>
      <c r="D6" s="274">
        <v>10.6</v>
      </c>
      <c r="E6" s="274">
        <v>10.6</v>
      </c>
      <c r="F6" s="274"/>
      <c r="G6" s="274"/>
      <c r="H6" s="301">
        <f>(D6*2/3)+(E6*1/3)</f>
        <v>10.6</v>
      </c>
      <c r="I6" s="270">
        <f t="shared" ref="I6:I8" si="0">182*H6%</f>
        <v>19.291999999999998</v>
      </c>
      <c r="J6" s="270">
        <f t="shared" ref="J6:J8" si="1">I6*1000/C6</f>
        <v>19.991709844559583</v>
      </c>
      <c r="K6" s="349">
        <f t="shared" ref="K6:K8" si="2">I6*24</f>
        <v>463.00799999999992</v>
      </c>
      <c r="L6" s="355">
        <f>I6*24</f>
        <v>463.00799999999992</v>
      </c>
      <c r="M6" s="352">
        <v>29555</v>
      </c>
      <c r="N6" s="271">
        <v>1000</v>
      </c>
      <c r="O6" s="309">
        <f t="shared" ref="O6:O8" si="3">L6*M6*N6/100000</f>
        <v>136842.01439999999</v>
      </c>
      <c r="P6" s="425" t="s">
        <v>69</v>
      </c>
      <c r="Q6" s="426"/>
      <c r="R6" s="428"/>
      <c r="S6" s="428"/>
      <c r="T6" s="366"/>
      <c r="U6" s="366"/>
      <c r="V6" s="366"/>
    </row>
    <row r="7" spans="1:22" ht="15.75" x14ac:dyDescent="0.25">
      <c r="B7" s="269" t="s">
        <v>93</v>
      </c>
      <c r="C7" s="265">
        <v>920</v>
      </c>
      <c r="D7" s="266">
        <v>61.6</v>
      </c>
      <c r="E7" s="266">
        <v>61.6</v>
      </c>
      <c r="F7" s="266"/>
      <c r="G7" s="266"/>
      <c r="H7" s="301">
        <f>(D7*2/3)+(E7*1/3)</f>
        <v>61.600000000000009</v>
      </c>
      <c r="I7" s="270">
        <f t="shared" si="0"/>
        <v>112.11200000000002</v>
      </c>
      <c r="J7" s="270">
        <f t="shared" si="1"/>
        <v>121.86086956521743</v>
      </c>
      <c r="K7" s="349">
        <f t="shared" si="2"/>
        <v>2690.6880000000006</v>
      </c>
      <c r="L7" s="355">
        <f>I7*24</f>
        <v>2690.6880000000006</v>
      </c>
      <c r="M7" s="352">
        <v>29555</v>
      </c>
      <c r="N7" s="271">
        <v>1000</v>
      </c>
      <c r="O7" s="309">
        <f t="shared" si="3"/>
        <v>795232.83840000012</v>
      </c>
      <c r="P7" s="425" t="s">
        <v>70</v>
      </c>
      <c r="Q7" s="426"/>
      <c r="R7" s="428"/>
      <c r="S7" s="428"/>
      <c r="T7" s="366"/>
      <c r="U7" s="366"/>
      <c r="V7" s="366"/>
    </row>
    <row r="8" spans="1:22" ht="15.75" x14ac:dyDescent="0.25">
      <c r="B8" s="269" t="s">
        <v>138</v>
      </c>
      <c r="C8" s="265">
        <v>870</v>
      </c>
      <c r="D8" s="266">
        <v>14.3</v>
      </c>
      <c r="E8" s="266">
        <v>14.3</v>
      </c>
      <c r="F8" s="266"/>
      <c r="G8" s="266"/>
      <c r="H8" s="301">
        <f>(D8*2/3)+(E8*1/3)</f>
        <v>14.3</v>
      </c>
      <c r="I8" s="270">
        <f t="shared" si="0"/>
        <v>26.026000000000003</v>
      </c>
      <c r="J8" s="270">
        <f t="shared" si="1"/>
        <v>29.914942528735637</v>
      </c>
      <c r="K8" s="349">
        <f t="shared" si="2"/>
        <v>624.62400000000002</v>
      </c>
      <c r="L8" s="355">
        <f>I8*24</f>
        <v>624.62400000000002</v>
      </c>
      <c r="M8" s="352">
        <v>29555</v>
      </c>
      <c r="N8" s="271">
        <v>1000</v>
      </c>
      <c r="O8" s="309">
        <f t="shared" si="3"/>
        <v>184607.6232</v>
      </c>
      <c r="P8" s="427" t="s">
        <v>71</v>
      </c>
      <c r="Q8" s="428"/>
      <c r="R8" s="428"/>
      <c r="S8" s="428"/>
      <c r="T8" s="366"/>
      <c r="U8" s="366"/>
      <c r="V8" s="366"/>
    </row>
    <row r="9" spans="1:22" ht="15.75" x14ac:dyDescent="0.25">
      <c r="B9" s="370" t="s">
        <v>208</v>
      </c>
      <c r="C9" s="371"/>
      <c r="D9" s="292">
        <f>SUM(D5:D8)</f>
        <v>100</v>
      </c>
      <c r="E9" s="292">
        <f t="shared" ref="E9:J9" si="4">SUM(E5:E8)</f>
        <v>100</v>
      </c>
      <c r="F9" s="292"/>
      <c r="G9" s="292"/>
      <c r="H9" s="372">
        <f t="shared" si="4"/>
        <v>100.00000000000001</v>
      </c>
      <c r="I9" s="292">
        <f t="shared" si="4"/>
        <v>182.00000000000003</v>
      </c>
      <c r="J9" s="373">
        <f t="shared" si="4"/>
        <v>199.68797648396719</v>
      </c>
      <c r="K9" s="374">
        <f>SUM(K5:K8)</f>
        <v>4368.0000000000009</v>
      </c>
      <c r="L9" s="375">
        <f t="shared" ref="L9" si="5">SUM(L5:L8)</f>
        <v>4368.0000000000009</v>
      </c>
      <c r="M9" s="277"/>
      <c r="N9" s="277"/>
      <c r="O9" s="310">
        <f t="shared" ref="O9" si="6">SUM(O5:O8)</f>
        <v>1290962.4000000001</v>
      </c>
      <c r="P9" s="427" t="s">
        <v>72</v>
      </c>
      <c r="Q9" s="428"/>
      <c r="R9" s="428"/>
      <c r="S9" s="428"/>
      <c r="T9" s="366"/>
      <c r="U9" s="366"/>
      <c r="V9" s="366"/>
    </row>
    <row r="10" spans="1:22" ht="32.25" thickBot="1" x14ac:dyDescent="0.3">
      <c r="B10" s="313" t="s">
        <v>217</v>
      </c>
      <c r="C10" s="278"/>
      <c r="D10" s="211">
        <v>2.9</v>
      </c>
      <c r="E10" s="211">
        <v>2.8</v>
      </c>
      <c r="F10" s="256"/>
      <c r="G10" s="256"/>
      <c r="H10" s="303">
        <f>(D10*2/3)+(E10*1/3)</f>
        <v>2.8666666666666667</v>
      </c>
      <c r="I10" s="212">
        <v>0</v>
      </c>
      <c r="J10" s="279">
        <f>I10*1000*22.4/2.01</f>
        <v>0</v>
      </c>
      <c r="K10" s="351">
        <f>I10*24</f>
        <v>0</v>
      </c>
      <c r="L10" s="303">
        <v>0</v>
      </c>
      <c r="M10" s="280"/>
      <c r="N10" s="280"/>
      <c r="O10" s="281"/>
      <c r="P10" s="423" t="s">
        <v>73</v>
      </c>
      <c r="Q10" s="424"/>
      <c r="R10" s="453"/>
      <c r="S10" s="424"/>
      <c r="T10" s="21"/>
      <c r="U10" s="21"/>
      <c r="V10" s="21"/>
    </row>
    <row r="11" spans="1:22" ht="18.75" thickBot="1" x14ac:dyDescent="0.3">
      <c r="B11" s="314" t="s">
        <v>210</v>
      </c>
      <c r="C11" s="282" t="s">
        <v>168</v>
      </c>
      <c r="D11" s="253">
        <f>D9+D10</f>
        <v>102.9</v>
      </c>
      <c r="E11" s="253">
        <f t="shared" ref="E11:L11" si="7">E9+E10</f>
        <v>102.8</v>
      </c>
      <c r="F11" s="197"/>
      <c r="G11" s="197"/>
      <c r="H11" s="304">
        <f t="shared" si="7"/>
        <v>102.86666666666667</v>
      </c>
      <c r="I11" s="253">
        <f t="shared" si="7"/>
        <v>182.00000000000003</v>
      </c>
      <c r="J11" s="198"/>
      <c r="K11" s="344">
        <f>K9+K10</f>
        <v>4368.0000000000009</v>
      </c>
      <c r="L11" s="357">
        <f t="shared" si="7"/>
        <v>4368.0000000000009</v>
      </c>
      <c r="M11" s="205"/>
      <c r="N11" s="205"/>
      <c r="O11" s="206"/>
      <c r="P11" s="363"/>
      <c r="Q11" s="364"/>
      <c r="R11" s="368"/>
      <c r="S11" s="364"/>
      <c r="T11" s="21"/>
      <c r="U11" s="21"/>
      <c r="V11" s="21"/>
    </row>
    <row r="12" spans="1:22" ht="60.75" thickBot="1" x14ac:dyDescent="0.3">
      <c r="B12" s="475" t="s">
        <v>21</v>
      </c>
      <c r="C12" s="130" t="s">
        <v>177</v>
      </c>
      <c r="D12" s="130" t="s">
        <v>60</v>
      </c>
      <c r="E12" s="130" t="s">
        <v>61</v>
      </c>
      <c r="F12" s="130" t="s">
        <v>202</v>
      </c>
      <c r="G12" s="130" t="s">
        <v>203</v>
      </c>
      <c r="H12" s="130" t="s">
        <v>204</v>
      </c>
      <c r="I12" s="411" t="s">
        <v>162</v>
      </c>
      <c r="J12" s="412"/>
      <c r="K12" s="412"/>
      <c r="L12" s="130" t="s">
        <v>157</v>
      </c>
      <c r="M12" s="130" t="s">
        <v>152</v>
      </c>
      <c r="N12" s="130" t="s">
        <v>216</v>
      </c>
      <c r="O12" s="132" t="s">
        <v>163</v>
      </c>
      <c r="P12" s="454" t="s">
        <v>75</v>
      </c>
      <c r="Q12" s="455"/>
      <c r="R12" s="456">
        <v>1</v>
      </c>
      <c r="S12" s="457"/>
      <c r="T12" s="362">
        <v>1</v>
      </c>
      <c r="U12" s="362">
        <v>1</v>
      </c>
      <c r="V12" s="362">
        <v>1</v>
      </c>
    </row>
    <row r="13" spans="1:22" ht="30.75" thickBot="1" x14ac:dyDescent="0.3">
      <c r="B13" s="476"/>
      <c r="C13" s="110" t="s">
        <v>111</v>
      </c>
      <c r="D13" s="295" t="s">
        <v>140</v>
      </c>
      <c r="E13" s="295" t="s">
        <v>140</v>
      </c>
      <c r="F13" s="295" t="s">
        <v>140</v>
      </c>
      <c r="G13" s="295" t="s">
        <v>140</v>
      </c>
      <c r="H13" s="295" t="s">
        <v>159</v>
      </c>
      <c r="I13" s="257" t="s">
        <v>109</v>
      </c>
      <c r="J13" s="257" t="s">
        <v>178</v>
      </c>
      <c r="K13" s="258" t="s">
        <v>139</v>
      </c>
      <c r="L13" s="295" t="s">
        <v>139</v>
      </c>
      <c r="M13" s="295" t="s">
        <v>146</v>
      </c>
      <c r="N13" s="295" t="s">
        <v>149</v>
      </c>
      <c r="O13" s="337" t="s">
        <v>151</v>
      </c>
      <c r="P13" s="22"/>
      <c r="Q13" s="23"/>
      <c r="R13" s="369"/>
      <c r="S13" s="362"/>
      <c r="T13" s="362"/>
      <c r="U13" s="362"/>
      <c r="V13" s="362"/>
    </row>
    <row r="14" spans="1:22" ht="16.5" thickBot="1" x14ac:dyDescent="0.3">
      <c r="A14" s="219" t="s">
        <v>32</v>
      </c>
      <c r="B14" s="315" t="s">
        <v>65</v>
      </c>
      <c r="C14" s="283"/>
      <c r="D14" s="332">
        <v>0.44</v>
      </c>
      <c r="E14" s="332">
        <v>0.44</v>
      </c>
      <c r="F14" s="284">
        <f>D14*100/$D$23</f>
        <v>0.42759961127308066</v>
      </c>
      <c r="G14" s="284">
        <f>E14*100/$E$23</f>
        <v>0.42801556420233461</v>
      </c>
      <c r="H14" s="285">
        <f>(F14*2/3)+(G14*1/3)</f>
        <v>0.42773826224949862</v>
      </c>
      <c r="I14" s="285">
        <f>$L$11*H14%/24</f>
        <v>0.77848363729408765</v>
      </c>
      <c r="J14" s="285"/>
      <c r="K14" s="285">
        <f>I14*24</f>
        <v>18.683607295058103</v>
      </c>
      <c r="L14" s="353">
        <f>I14*24</f>
        <v>18.683607295058103</v>
      </c>
      <c r="M14" s="286">
        <v>0</v>
      </c>
      <c r="N14" s="287">
        <v>1000</v>
      </c>
      <c r="O14" s="288">
        <f>L14*M14*N14</f>
        <v>0</v>
      </c>
      <c r="P14" s="22"/>
      <c r="Q14" s="23"/>
      <c r="R14" s="369"/>
      <c r="S14" s="362"/>
      <c r="T14" s="362"/>
      <c r="U14" s="362"/>
      <c r="V14" s="362"/>
    </row>
    <row r="15" spans="1:22" ht="16.5" thickBot="1" x14ac:dyDescent="0.3">
      <c r="A15" s="219" t="s">
        <v>188</v>
      </c>
      <c r="B15" s="316" t="s">
        <v>69</v>
      </c>
      <c r="C15" s="280"/>
      <c r="D15" s="333">
        <v>0.16</v>
      </c>
      <c r="E15" s="333">
        <v>0.24</v>
      </c>
      <c r="F15" s="376">
        <f t="shared" ref="F15:F22" si="8">D15*100/$D$23</f>
        <v>0.1554907677356657</v>
      </c>
      <c r="G15" s="376">
        <f t="shared" ref="G15:G22" si="9">E15*100/$E$23</f>
        <v>0.23346303501945523</v>
      </c>
      <c r="H15" s="285">
        <f t="shared" ref="H15:H22" si="10">(F15*2/3)+(G15*1/3)</f>
        <v>0.18148152349692886</v>
      </c>
      <c r="I15" s="285">
        <f t="shared" ref="I15:I21" si="11">$L$11*H15%/24</f>
        <v>0.3302963727644106</v>
      </c>
      <c r="J15" s="290"/>
      <c r="K15" s="285">
        <f t="shared" ref="K15:K21" si="12">I15*24</f>
        <v>7.9271129463458543</v>
      </c>
      <c r="L15" s="353">
        <f t="shared" ref="L15:L22" si="13">I15*24</f>
        <v>7.9271129463458543</v>
      </c>
      <c r="M15" s="291">
        <v>13306</v>
      </c>
      <c r="N15" s="287">
        <v>1000</v>
      </c>
      <c r="O15" s="311">
        <f>L15*M15*N15/100000</f>
        <v>1054.7816486407792</v>
      </c>
      <c r="P15" s="22"/>
      <c r="Q15" s="23"/>
      <c r="R15" s="369"/>
      <c r="S15" s="362"/>
      <c r="T15" s="362"/>
      <c r="U15" s="362"/>
      <c r="V15" s="362"/>
    </row>
    <row r="16" spans="1:22" ht="16.5" thickBot="1" x14ac:dyDescent="0.3">
      <c r="A16" s="219" t="s">
        <v>189</v>
      </c>
      <c r="B16" s="316" t="s">
        <v>70</v>
      </c>
      <c r="C16" s="266">
        <v>550</v>
      </c>
      <c r="D16" s="334">
        <v>0.94</v>
      </c>
      <c r="E16" s="334">
        <v>1.1200000000000001</v>
      </c>
      <c r="F16" s="284">
        <f t="shared" si="8"/>
        <v>0.91350826044703592</v>
      </c>
      <c r="G16" s="284">
        <f t="shared" si="9"/>
        <v>1.0894941634241246</v>
      </c>
      <c r="H16" s="285">
        <f t="shared" si="10"/>
        <v>0.97217022810606546</v>
      </c>
      <c r="I16" s="285">
        <f t="shared" si="11"/>
        <v>1.7693498151530394</v>
      </c>
      <c r="J16" s="290">
        <f>I16*1000/C16</f>
        <v>3.216999663914617</v>
      </c>
      <c r="K16" s="285">
        <f t="shared" si="12"/>
        <v>42.464395563672944</v>
      </c>
      <c r="L16" s="353">
        <f t="shared" si="13"/>
        <v>42.464395563672944</v>
      </c>
      <c r="M16" s="291">
        <v>34951</v>
      </c>
      <c r="N16" s="287">
        <v>1000</v>
      </c>
      <c r="O16" s="311">
        <f t="shared" ref="O16:O20" si="14">L16*M16*N16/100000</f>
        <v>14841.730893459331</v>
      </c>
      <c r="P16" s="22"/>
      <c r="Q16" s="23"/>
      <c r="R16" s="369"/>
      <c r="S16" s="362"/>
      <c r="T16" s="362"/>
      <c r="U16" s="362"/>
      <c r="V16" s="362"/>
    </row>
    <row r="17" spans="1:25" ht="19.899999999999999" customHeight="1" thickBot="1" x14ac:dyDescent="0.3">
      <c r="A17" s="219" t="s">
        <v>190</v>
      </c>
      <c r="B17" s="316" t="s">
        <v>153</v>
      </c>
      <c r="C17" s="266">
        <v>700</v>
      </c>
      <c r="D17" s="334">
        <v>9.35</v>
      </c>
      <c r="E17" s="334">
        <v>9.7200000000000006</v>
      </c>
      <c r="F17" s="376">
        <f t="shared" si="8"/>
        <v>9.0864917395529634</v>
      </c>
      <c r="G17" s="376">
        <f t="shared" si="9"/>
        <v>9.4552529182879379</v>
      </c>
      <c r="H17" s="285">
        <f t="shared" si="10"/>
        <v>9.209412132464621</v>
      </c>
      <c r="I17" s="285">
        <f t="shared" si="11"/>
        <v>16.761130081085614</v>
      </c>
      <c r="J17" s="290">
        <f t="shared" ref="J17:J21" si="15">I17*1000/C17</f>
        <v>23.944471544408021</v>
      </c>
      <c r="K17" s="285">
        <f t="shared" si="12"/>
        <v>402.26712194605477</v>
      </c>
      <c r="L17" s="353">
        <f t="shared" si="13"/>
        <v>402.26712194605477</v>
      </c>
      <c r="M17" s="291">
        <v>40807</v>
      </c>
      <c r="N17" s="287">
        <v>1000</v>
      </c>
      <c r="O17" s="311">
        <f t="shared" si="14"/>
        <v>164153.14445252658</v>
      </c>
      <c r="P17" s="22"/>
      <c r="Q17" s="23"/>
      <c r="R17" s="369"/>
      <c r="S17" s="362"/>
      <c r="T17" s="362"/>
      <c r="U17" s="362"/>
      <c r="V17" s="362"/>
    </row>
    <row r="18" spans="1:25" ht="19.899999999999999" customHeight="1" x14ac:dyDescent="0.25">
      <c r="A18" s="219" t="s">
        <v>191</v>
      </c>
      <c r="B18" s="317" t="s">
        <v>154</v>
      </c>
      <c r="C18" s="265">
        <v>750</v>
      </c>
      <c r="D18" s="334">
        <v>4.17</v>
      </c>
      <c r="E18" s="334">
        <v>4.33</v>
      </c>
      <c r="F18" s="284">
        <f t="shared" si="8"/>
        <v>4.0524781341107872</v>
      </c>
      <c r="G18" s="284">
        <f t="shared" si="9"/>
        <v>4.2120622568093378</v>
      </c>
      <c r="H18" s="285">
        <f t="shared" si="10"/>
        <v>4.105672841676971</v>
      </c>
      <c r="I18" s="285">
        <f t="shared" si="11"/>
        <v>7.4723245718520888</v>
      </c>
      <c r="J18" s="290">
        <f t="shared" si="15"/>
        <v>9.9630994291361183</v>
      </c>
      <c r="K18" s="285">
        <f t="shared" si="12"/>
        <v>179.33578972445014</v>
      </c>
      <c r="L18" s="353">
        <f t="shared" si="13"/>
        <v>179.33578972445014</v>
      </c>
      <c r="M18" s="291">
        <v>40807</v>
      </c>
      <c r="N18" s="287">
        <v>1000</v>
      </c>
      <c r="O18" s="311">
        <f t="shared" si="14"/>
        <v>73181.555712856367</v>
      </c>
      <c r="P18" s="421" t="s">
        <v>77</v>
      </c>
      <c r="Q18" s="422"/>
      <c r="R18" s="458" t="s">
        <v>78</v>
      </c>
      <c r="S18" s="422"/>
      <c r="T18" s="362" t="s">
        <v>79</v>
      </c>
      <c r="U18" s="362">
        <v>100</v>
      </c>
      <c r="V18" s="362">
        <v>100</v>
      </c>
    </row>
    <row r="19" spans="1:25" ht="19.899999999999999" customHeight="1" x14ac:dyDescent="0.25">
      <c r="A19" s="219" t="s">
        <v>192</v>
      </c>
      <c r="B19" s="317" t="s">
        <v>156</v>
      </c>
      <c r="C19" s="265">
        <v>810</v>
      </c>
      <c r="D19" s="334">
        <v>34.96</v>
      </c>
      <c r="E19" s="334">
        <v>34.89</v>
      </c>
      <c r="F19" s="376">
        <f t="shared" si="8"/>
        <v>33.97473275024295</v>
      </c>
      <c r="G19" s="376">
        <f t="shared" si="9"/>
        <v>33.939688715953302</v>
      </c>
      <c r="H19" s="285">
        <f t="shared" si="10"/>
        <v>33.963051405479732</v>
      </c>
      <c r="I19" s="285">
        <f t="shared" si="11"/>
        <v>61.812753557973132</v>
      </c>
      <c r="J19" s="290">
        <f t="shared" si="15"/>
        <v>76.312041429596462</v>
      </c>
      <c r="K19" s="285">
        <f t="shared" si="12"/>
        <v>1483.5060853913551</v>
      </c>
      <c r="L19" s="353">
        <f t="shared" si="13"/>
        <v>1483.5060853913551</v>
      </c>
      <c r="M19" s="291">
        <v>41587</v>
      </c>
      <c r="N19" s="287">
        <v>1000</v>
      </c>
      <c r="O19" s="311">
        <f t="shared" si="14"/>
        <v>616945.67573170282</v>
      </c>
      <c r="P19" s="427"/>
      <c r="Q19" s="428"/>
      <c r="R19" s="428"/>
      <c r="S19" s="428"/>
      <c r="T19" s="428"/>
      <c r="U19" s="428"/>
      <c r="V19" s="428"/>
    </row>
    <row r="20" spans="1:25" ht="19.899999999999999" customHeight="1" x14ac:dyDescent="0.25">
      <c r="A20" s="219" t="s">
        <v>193</v>
      </c>
      <c r="B20" s="317" t="s">
        <v>74</v>
      </c>
      <c r="C20" s="265">
        <v>840</v>
      </c>
      <c r="D20" s="334">
        <v>51.88</v>
      </c>
      <c r="E20" s="334">
        <v>51.06</v>
      </c>
      <c r="F20" s="376">
        <f t="shared" si="8"/>
        <v>50.417881438289598</v>
      </c>
      <c r="G20" s="376">
        <f t="shared" si="9"/>
        <v>49.669260700389103</v>
      </c>
      <c r="H20" s="285">
        <f t="shared" si="10"/>
        <v>50.168341192322771</v>
      </c>
      <c r="I20" s="285">
        <f t="shared" si="11"/>
        <v>91.306380970027476</v>
      </c>
      <c r="J20" s="290">
        <f t="shared" si="15"/>
        <v>108.69807258336604</v>
      </c>
      <c r="K20" s="285">
        <f t="shared" si="12"/>
        <v>2191.3531432806594</v>
      </c>
      <c r="L20" s="353">
        <f t="shared" si="13"/>
        <v>2191.3531432806594</v>
      </c>
      <c r="M20" s="291">
        <v>41587</v>
      </c>
      <c r="N20" s="287">
        <v>1000</v>
      </c>
      <c r="O20" s="311">
        <f t="shared" si="14"/>
        <v>911318.03169612773</v>
      </c>
      <c r="P20" s="365"/>
      <c r="Q20" s="366"/>
      <c r="R20" s="366"/>
      <c r="S20" s="366"/>
      <c r="T20" s="366"/>
      <c r="U20" s="366"/>
      <c r="V20" s="366"/>
    </row>
    <row r="21" spans="1:25" ht="19.899999999999999" customHeight="1" thickBot="1" x14ac:dyDescent="0.3">
      <c r="A21" s="219" t="s">
        <v>194</v>
      </c>
      <c r="B21" s="318" t="s">
        <v>155</v>
      </c>
      <c r="C21" s="266">
        <v>840</v>
      </c>
      <c r="D21" s="334">
        <v>1</v>
      </c>
      <c r="E21" s="334">
        <v>1</v>
      </c>
      <c r="F21" s="289">
        <f t="shared" si="8"/>
        <v>0.97181729834791053</v>
      </c>
      <c r="G21" s="289">
        <f t="shared" si="9"/>
        <v>0.97276264591439676</v>
      </c>
      <c r="H21" s="290">
        <f t="shared" si="10"/>
        <v>0.9721324142034059</v>
      </c>
      <c r="I21" s="285">
        <f t="shared" si="11"/>
        <v>1.7692809938501994</v>
      </c>
      <c r="J21" s="290">
        <f t="shared" si="15"/>
        <v>2.1062868974407136</v>
      </c>
      <c r="K21" s="290">
        <f t="shared" si="12"/>
        <v>42.462743852404785</v>
      </c>
      <c r="L21" s="353">
        <f t="shared" si="13"/>
        <v>42.462743852404785</v>
      </c>
      <c r="M21" s="292">
        <v>29555</v>
      </c>
      <c r="N21" s="286">
        <v>1000</v>
      </c>
      <c r="O21" s="312">
        <f>L21*M21*N21/100000</f>
        <v>12549.863945578234</v>
      </c>
      <c r="P21" s="365"/>
      <c r="Q21" s="366"/>
      <c r="R21" s="366"/>
      <c r="S21" s="366"/>
      <c r="T21" s="366"/>
      <c r="U21" s="366"/>
      <c r="V21" s="366"/>
    </row>
    <row r="22" spans="1:25" ht="19.899999999999999" hidden="1" customHeight="1" x14ac:dyDescent="0.25">
      <c r="A22" s="223" t="s">
        <v>201</v>
      </c>
      <c r="B22" s="319" t="s">
        <v>205</v>
      </c>
      <c r="C22" s="293"/>
      <c r="D22" s="305">
        <v>0</v>
      </c>
      <c r="E22" s="305">
        <v>0</v>
      </c>
      <c r="F22" s="306">
        <f t="shared" si="8"/>
        <v>0</v>
      </c>
      <c r="G22" s="306">
        <f t="shared" si="9"/>
        <v>0</v>
      </c>
      <c r="H22" s="306">
        <f t="shared" si="10"/>
        <v>0</v>
      </c>
      <c r="I22" s="359">
        <f>$L$11*H22%/24</f>
        <v>0</v>
      </c>
      <c r="J22" s="307"/>
      <c r="K22" s="308">
        <f>I22*24</f>
        <v>0</v>
      </c>
      <c r="L22" s="354">
        <f t="shared" si="13"/>
        <v>0</v>
      </c>
      <c r="M22" s="294"/>
      <c r="N22" s="295"/>
      <c r="O22" s="296"/>
      <c r="P22" s="365"/>
      <c r="Q22" s="366"/>
      <c r="R22" s="366"/>
      <c r="S22" s="366"/>
      <c r="T22" s="366"/>
      <c r="U22" s="366"/>
      <c r="V22" s="366"/>
    </row>
    <row r="23" spans="1:25" ht="27.6" customHeight="1" thickBot="1" x14ac:dyDescent="0.3">
      <c r="A23" s="254"/>
      <c r="B23" s="297" t="s">
        <v>211</v>
      </c>
      <c r="C23" s="298" t="s">
        <v>169</v>
      </c>
      <c r="D23" s="335">
        <f>SUM(D14:D22)</f>
        <v>102.9</v>
      </c>
      <c r="E23" s="335">
        <f t="shared" ref="E23:F23" si="16">SUM(E14:E22)</f>
        <v>102.80000000000001</v>
      </c>
      <c r="F23" s="336">
        <f t="shared" si="16"/>
        <v>99.999999999999986</v>
      </c>
      <c r="G23" s="336">
        <f>SUM(G14:G22)</f>
        <v>100</v>
      </c>
      <c r="H23" s="336">
        <f>SUM(H14:H22)</f>
        <v>99.999999999999986</v>
      </c>
      <c r="I23" s="335">
        <f>SUM(I14:I22)</f>
        <v>182.00000000000006</v>
      </c>
      <c r="J23" s="336"/>
      <c r="K23" s="347">
        <f t="shared" ref="K23:L23" si="17">SUM(K14:K22)</f>
        <v>4368.0000000000009</v>
      </c>
      <c r="L23" s="358">
        <f t="shared" si="17"/>
        <v>4368.0000000000009</v>
      </c>
      <c r="M23" s="299"/>
      <c r="N23" s="299"/>
      <c r="O23" s="300">
        <f t="shared" ref="O23" si="18">SUM(O14:O21)</f>
        <v>1794044.7840808919</v>
      </c>
      <c r="P23" s="366"/>
      <c r="Q23" s="366"/>
      <c r="R23" s="366"/>
      <c r="S23" s="366"/>
      <c r="T23" s="366"/>
      <c r="U23" s="366"/>
      <c r="V23" s="366"/>
    </row>
    <row r="24" spans="1:25" ht="18.600000000000001" customHeight="1" thickBot="1" x14ac:dyDescent="0.3">
      <c r="A24" s="255"/>
      <c r="B24" s="338" t="s">
        <v>212</v>
      </c>
      <c r="C24" s="339" t="s">
        <v>172</v>
      </c>
      <c r="D24" s="340">
        <f>D11-D23</f>
        <v>0</v>
      </c>
      <c r="E24" s="341">
        <f>E11-E23</f>
        <v>0</v>
      </c>
      <c r="F24" s="342"/>
      <c r="G24" s="342"/>
      <c r="H24" s="341"/>
      <c r="I24" s="343">
        <f>I11-I23</f>
        <v>0</v>
      </c>
      <c r="J24" s="250"/>
      <c r="K24" s="345"/>
      <c r="L24" s="346"/>
      <c r="M24" s="251"/>
      <c r="N24" s="251"/>
      <c r="O24" s="252"/>
      <c r="P24" s="366"/>
      <c r="Q24" s="366"/>
      <c r="R24" s="366"/>
      <c r="S24" s="366"/>
      <c r="T24" s="366"/>
      <c r="U24" s="366"/>
      <c r="V24" s="366"/>
    </row>
    <row r="25" spans="1:25" ht="15.75" hidden="1" thickBot="1" x14ac:dyDescent="0.3">
      <c r="A25" s="222"/>
      <c r="B25" s="321" t="s">
        <v>47</v>
      </c>
      <c r="C25" s="259" t="s">
        <v>173</v>
      </c>
      <c r="D25" s="260">
        <f>D11-(D23+D24)</f>
        <v>0</v>
      </c>
      <c r="E25" s="260">
        <f t="shared" ref="E25:I25" si="19">E11-(E23+E24)</f>
        <v>0</v>
      </c>
      <c r="F25" s="260"/>
      <c r="G25" s="260"/>
      <c r="H25" s="260"/>
      <c r="I25" s="260">
        <f t="shared" si="19"/>
        <v>0</v>
      </c>
      <c r="J25" s="260"/>
      <c r="K25" s="260">
        <f t="shared" ref="K25:L25" si="20">K23-K11</f>
        <v>0</v>
      </c>
      <c r="L25" s="260">
        <f t="shared" si="20"/>
        <v>0</v>
      </c>
      <c r="M25" s="261"/>
      <c r="N25" s="261"/>
      <c r="O25" s="261"/>
    </row>
    <row r="26" spans="1:25" ht="15.75" hidden="1" thickBot="1" x14ac:dyDescent="0.3">
      <c r="A26" s="323"/>
      <c r="B26" s="324"/>
      <c r="C26" s="325"/>
      <c r="D26" s="326"/>
      <c r="E26" s="326"/>
      <c r="F26" s="326"/>
      <c r="G26" s="326"/>
      <c r="H26" s="326"/>
      <c r="I26" s="327"/>
      <c r="J26" s="326"/>
      <c r="K26" s="326"/>
      <c r="L26" s="326"/>
      <c r="M26" s="328"/>
      <c r="N26" s="328"/>
      <c r="O26" s="328"/>
    </row>
    <row r="27" spans="1:25" ht="18" x14ac:dyDescent="0.25">
      <c r="A27" s="329"/>
      <c r="B27" s="471" t="s">
        <v>196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2"/>
    </row>
    <row r="28" spans="1:25" ht="20.25" x14ac:dyDescent="0.3">
      <c r="A28" s="330"/>
      <c r="B28" s="469" t="s">
        <v>213</v>
      </c>
      <c r="C28" s="469"/>
      <c r="D28" s="469"/>
      <c r="E28" s="469"/>
      <c r="F28" s="469"/>
      <c r="G28" s="262" t="s">
        <v>168</v>
      </c>
      <c r="H28" s="473">
        <f>O23</f>
        <v>1794044.7840808919</v>
      </c>
      <c r="I28" s="473"/>
      <c r="J28" s="473"/>
      <c r="K28" s="473"/>
      <c r="L28" s="473"/>
      <c r="M28" s="473"/>
      <c r="N28" s="473"/>
      <c r="O28" s="474"/>
      <c r="X28" s="378"/>
      <c r="Y28" s="378"/>
    </row>
    <row r="29" spans="1:25" ht="20.25" x14ac:dyDescent="0.3">
      <c r="A29" s="330"/>
      <c r="B29" s="469" t="s">
        <v>214</v>
      </c>
      <c r="C29" s="469"/>
      <c r="D29" s="469"/>
      <c r="E29" s="469"/>
      <c r="F29" s="469"/>
      <c r="G29" s="262" t="s">
        <v>169</v>
      </c>
      <c r="H29" s="473">
        <f>O9</f>
        <v>1290962.4000000001</v>
      </c>
      <c r="I29" s="473"/>
      <c r="J29" s="473"/>
      <c r="K29" s="473"/>
      <c r="L29" s="473"/>
      <c r="M29" s="473"/>
      <c r="N29" s="473"/>
      <c r="O29" s="474"/>
      <c r="X29" s="378"/>
      <c r="Y29" s="378"/>
    </row>
    <row r="30" spans="1:25" ht="20.25" x14ac:dyDescent="0.3">
      <c r="A30" s="330"/>
      <c r="B30" s="469" t="s">
        <v>215</v>
      </c>
      <c r="C30" s="469"/>
      <c r="D30" s="469"/>
      <c r="E30" s="469"/>
      <c r="F30" s="469"/>
      <c r="G30" s="263" t="s">
        <v>172</v>
      </c>
      <c r="H30" s="463"/>
      <c r="I30" s="463"/>
      <c r="J30" s="463"/>
      <c r="K30" s="463"/>
      <c r="L30" s="463"/>
      <c r="M30" s="463"/>
      <c r="N30" s="463"/>
      <c r="O30" s="464"/>
      <c r="X30" s="379"/>
      <c r="Y30" s="378"/>
    </row>
    <row r="31" spans="1:25" ht="28.5" thickBot="1" x14ac:dyDescent="0.45">
      <c r="A31" s="331"/>
      <c r="B31" s="470" t="s">
        <v>54</v>
      </c>
      <c r="C31" s="470"/>
      <c r="D31" s="470"/>
      <c r="E31" s="470"/>
      <c r="F31" s="470"/>
      <c r="G31" s="322" t="s">
        <v>173</v>
      </c>
      <c r="H31" s="465">
        <f>H28-H29-H30</f>
        <v>503082.38408089173</v>
      </c>
      <c r="I31" s="466"/>
      <c r="J31" s="466"/>
      <c r="K31" s="466"/>
      <c r="L31" s="466"/>
      <c r="M31" s="466"/>
      <c r="N31" s="466"/>
      <c r="O31" s="467"/>
      <c r="W31" s="361" t="s">
        <v>209</v>
      </c>
      <c r="X31" s="378"/>
      <c r="Y31" s="378"/>
    </row>
    <row r="35" spans="2:7" ht="18.75" x14ac:dyDescent="0.3">
      <c r="B35" s="386" t="s">
        <v>221</v>
      </c>
      <c r="C35" s="388"/>
      <c r="D35" s="388"/>
      <c r="E35" s="388"/>
      <c r="F35" s="389" t="s">
        <v>226</v>
      </c>
    </row>
    <row r="36" spans="2:7" ht="18.75" x14ac:dyDescent="0.3">
      <c r="B36" s="385" t="s">
        <v>69</v>
      </c>
      <c r="C36" s="386"/>
      <c r="D36" s="387">
        <v>0.01</v>
      </c>
      <c r="E36" s="391" t="s">
        <v>224</v>
      </c>
      <c r="F36" s="390">
        <f>H15</f>
        <v>0.18148152349692886</v>
      </c>
      <c r="G36" t="s">
        <v>227</v>
      </c>
    </row>
    <row r="37" spans="2:7" ht="18.75" x14ac:dyDescent="0.3">
      <c r="B37" s="385" t="s">
        <v>222</v>
      </c>
      <c r="C37" s="386"/>
      <c r="D37" s="387">
        <v>0.105</v>
      </c>
      <c r="E37" s="391" t="s">
        <v>224</v>
      </c>
      <c r="F37" s="390">
        <f>H17</f>
        <v>9.209412132464621</v>
      </c>
      <c r="G37" t="s">
        <v>227</v>
      </c>
    </row>
    <row r="38" spans="2:7" ht="18.75" x14ac:dyDescent="0.3">
      <c r="B38" s="385" t="s">
        <v>220</v>
      </c>
      <c r="C38" s="386"/>
      <c r="D38" s="387">
        <v>0.83499999999999996</v>
      </c>
      <c r="E38" s="391" t="s">
        <v>225</v>
      </c>
      <c r="F38" s="390">
        <f>H19+H20</f>
        <v>84.131392597802503</v>
      </c>
      <c r="G38" t="s">
        <v>227</v>
      </c>
    </row>
    <row r="39" spans="2:7" ht="18.75" x14ac:dyDescent="0.3">
      <c r="B39" s="385" t="s">
        <v>223</v>
      </c>
      <c r="C39" s="386"/>
      <c r="D39" s="387">
        <v>0.35</v>
      </c>
      <c r="E39" s="391" t="s">
        <v>224</v>
      </c>
      <c r="F39" s="390">
        <f>H19</f>
        <v>33.963051405479732</v>
      </c>
      <c r="G39" t="s">
        <v>227</v>
      </c>
    </row>
  </sheetData>
  <mergeCells count="35">
    <mergeCell ref="B2:O2"/>
    <mergeCell ref="I3:K3"/>
    <mergeCell ref="P3:Q3"/>
    <mergeCell ref="R3:T3"/>
    <mergeCell ref="U3:V3"/>
    <mergeCell ref="P5:Q5"/>
    <mergeCell ref="R5:S5"/>
    <mergeCell ref="P6:Q6"/>
    <mergeCell ref="R6:S6"/>
    <mergeCell ref="P4:Q4"/>
    <mergeCell ref="R4:S4"/>
    <mergeCell ref="P7:Q7"/>
    <mergeCell ref="R7:S7"/>
    <mergeCell ref="P8:Q8"/>
    <mergeCell ref="R8:S8"/>
    <mergeCell ref="P9:Q9"/>
    <mergeCell ref="R9:S9"/>
    <mergeCell ref="P10:Q10"/>
    <mergeCell ref="R10:S10"/>
    <mergeCell ref="B12:B13"/>
    <mergeCell ref="I12:K12"/>
    <mergeCell ref="P12:Q12"/>
    <mergeCell ref="R12:S12"/>
    <mergeCell ref="P18:Q18"/>
    <mergeCell ref="R18:S18"/>
    <mergeCell ref="B30:F30"/>
    <mergeCell ref="H30:O30"/>
    <mergeCell ref="B31:F31"/>
    <mergeCell ref="H31:O31"/>
    <mergeCell ref="P19:V19"/>
    <mergeCell ref="B27:O27"/>
    <mergeCell ref="B28:F28"/>
    <mergeCell ref="H28:O28"/>
    <mergeCell ref="B29:F29"/>
    <mergeCell ref="H29:O29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tabSelected="1" topLeftCell="A25" workbookViewId="0">
      <selection activeCell="A39" sqref="A39:XFD40"/>
    </sheetView>
  </sheetViews>
  <sheetFormatPr defaultRowHeight="15" x14ac:dyDescent="0.25"/>
  <cols>
    <col min="1" max="1" width="1.28515625" customWidth="1"/>
    <col min="2" max="2" width="7.140625" customWidth="1"/>
    <col min="3" max="3" width="71.42578125" customWidth="1"/>
    <col min="4" max="5" width="8.7109375" customWidth="1"/>
    <col min="6" max="6" width="1.28515625" customWidth="1"/>
  </cols>
  <sheetData>
    <row r="1" spans="2:5" ht="9" customHeight="1" x14ac:dyDescent="0.25"/>
    <row r="2" spans="2:5" ht="15.75" x14ac:dyDescent="0.25">
      <c r="D2" s="396" t="s">
        <v>260</v>
      </c>
    </row>
    <row r="3" spans="2:5" ht="18" x14ac:dyDescent="0.25">
      <c r="C3" s="401" t="s">
        <v>258</v>
      </c>
    </row>
    <row r="4" spans="2:5" ht="7.15" customHeight="1" x14ac:dyDescent="0.25"/>
    <row r="5" spans="2:5" ht="31.5" x14ac:dyDescent="0.25">
      <c r="B5" s="397" t="s">
        <v>242</v>
      </c>
      <c r="C5" s="398" t="s">
        <v>234</v>
      </c>
      <c r="D5" s="398" t="s">
        <v>232</v>
      </c>
      <c r="E5" s="398" t="s">
        <v>233</v>
      </c>
    </row>
    <row r="6" spans="2:5" ht="15.75" x14ac:dyDescent="0.25">
      <c r="B6" s="56"/>
      <c r="C6" s="400" t="s">
        <v>239</v>
      </c>
      <c r="D6" s="56"/>
      <c r="E6" s="56"/>
    </row>
    <row r="7" spans="2:5" x14ac:dyDescent="0.25">
      <c r="B7" s="93">
        <v>1</v>
      </c>
      <c r="C7" s="395" t="s">
        <v>244</v>
      </c>
      <c r="D7" s="93" t="s">
        <v>67</v>
      </c>
      <c r="E7" s="92"/>
    </row>
    <row r="8" spans="2:5" ht="30" x14ac:dyDescent="0.25">
      <c r="B8" s="93">
        <v>2</v>
      </c>
      <c r="C8" s="393" t="s">
        <v>243</v>
      </c>
      <c r="D8" s="93" t="s">
        <v>67</v>
      </c>
      <c r="E8" s="92"/>
    </row>
    <row r="9" spans="2:5" ht="30" x14ac:dyDescent="0.25">
      <c r="B9" s="93">
        <v>3</v>
      </c>
      <c r="C9" s="393" t="s">
        <v>261</v>
      </c>
      <c r="D9" s="93" t="s">
        <v>67</v>
      </c>
      <c r="E9" s="92"/>
    </row>
    <row r="10" spans="2:5" x14ac:dyDescent="0.25">
      <c r="B10" s="93">
        <v>4</v>
      </c>
      <c r="C10" s="393" t="s">
        <v>264</v>
      </c>
      <c r="D10" s="93" t="s">
        <v>67</v>
      </c>
      <c r="E10" s="92"/>
    </row>
    <row r="11" spans="2:5" ht="30" x14ac:dyDescent="0.25">
      <c r="B11" s="403">
        <v>5</v>
      </c>
      <c r="C11" s="394" t="s">
        <v>265</v>
      </c>
      <c r="D11" s="403" t="s">
        <v>67</v>
      </c>
      <c r="E11" s="405"/>
    </row>
    <row r="12" spans="2:5" x14ac:dyDescent="0.25">
      <c r="B12" s="93">
        <v>6</v>
      </c>
      <c r="C12" s="393" t="s">
        <v>245</v>
      </c>
      <c r="D12" s="92"/>
      <c r="E12" s="93" t="s">
        <v>67</v>
      </c>
    </row>
    <row r="13" spans="2:5" x14ac:dyDescent="0.25">
      <c r="B13" s="93">
        <v>7</v>
      </c>
      <c r="C13" s="56" t="s">
        <v>241</v>
      </c>
      <c r="D13" s="92"/>
      <c r="E13" s="93" t="s">
        <v>67</v>
      </c>
    </row>
    <row r="14" spans="2:5" x14ac:dyDescent="0.25">
      <c r="B14" s="93">
        <v>8</v>
      </c>
      <c r="C14" s="56" t="s">
        <v>240</v>
      </c>
      <c r="D14" s="92"/>
      <c r="E14" s="93" t="s">
        <v>67</v>
      </c>
    </row>
    <row r="15" spans="2:5" ht="18" customHeight="1" x14ac:dyDescent="0.25">
      <c r="B15" s="93">
        <v>9</v>
      </c>
      <c r="C15" s="394" t="s">
        <v>263</v>
      </c>
      <c r="D15" s="92"/>
      <c r="E15" s="93" t="s">
        <v>67</v>
      </c>
    </row>
    <row r="16" spans="2:5" s="378" customFormat="1" x14ac:dyDescent="0.25">
      <c r="B16" s="403">
        <v>10</v>
      </c>
      <c r="C16" s="487" t="s">
        <v>269</v>
      </c>
      <c r="D16" s="403" t="s">
        <v>67</v>
      </c>
      <c r="E16" s="403"/>
    </row>
    <row r="17" spans="2:6" s="378" customFormat="1" ht="60.75" customHeight="1" x14ac:dyDescent="0.25">
      <c r="B17" s="403">
        <v>11</v>
      </c>
      <c r="C17" s="488" t="s">
        <v>270</v>
      </c>
      <c r="D17" s="403" t="s">
        <v>67</v>
      </c>
      <c r="E17" s="403"/>
    </row>
    <row r="18" spans="2:6" ht="15.75" x14ac:dyDescent="0.25">
      <c r="B18" s="92"/>
      <c r="C18" s="399" t="s">
        <v>250</v>
      </c>
      <c r="D18" s="92"/>
      <c r="E18" s="92"/>
    </row>
    <row r="19" spans="2:6" ht="30" x14ac:dyDescent="0.25">
      <c r="B19" s="93">
        <v>1</v>
      </c>
      <c r="C19" s="392" t="s">
        <v>235</v>
      </c>
      <c r="D19" s="93" t="s">
        <v>67</v>
      </c>
      <c r="E19" s="92"/>
    </row>
    <row r="20" spans="2:6" s="378" customFormat="1" ht="30" x14ac:dyDescent="0.25">
      <c r="B20" s="403">
        <v>2</v>
      </c>
      <c r="C20" s="404" t="s">
        <v>228</v>
      </c>
      <c r="D20" s="403"/>
      <c r="E20" s="403" t="s">
        <v>67</v>
      </c>
    </row>
    <row r="21" spans="2:6" ht="30" x14ac:dyDescent="0.25">
      <c r="B21" s="93">
        <v>3</v>
      </c>
      <c r="C21" s="392" t="s">
        <v>229</v>
      </c>
      <c r="D21" s="93" t="s">
        <v>67</v>
      </c>
      <c r="E21" s="92"/>
    </row>
    <row r="22" spans="2:6" x14ac:dyDescent="0.25">
      <c r="B22" s="93">
        <v>4</v>
      </c>
      <c r="C22" s="392" t="s">
        <v>248</v>
      </c>
      <c r="D22" s="93" t="s">
        <v>67</v>
      </c>
      <c r="E22" s="92"/>
    </row>
    <row r="23" spans="2:6" x14ac:dyDescent="0.25">
      <c r="B23" s="93"/>
      <c r="C23" s="402" t="s">
        <v>249</v>
      </c>
      <c r="D23" s="93" t="s">
        <v>67</v>
      </c>
      <c r="E23" s="92"/>
    </row>
    <row r="24" spans="2:6" x14ac:dyDescent="0.25">
      <c r="B24" s="93">
        <v>5</v>
      </c>
      <c r="C24" s="392" t="s">
        <v>247</v>
      </c>
      <c r="D24" s="93"/>
      <c r="E24" s="93" t="s">
        <v>67</v>
      </c>
    </row>
    <row r="25" spans="2:6" x14ac:dyDescent="0.25">
      <c r="B25" s="93">
        <v>6</v>
      </c>
      <c r="C25" s="392" t="s">
        <v>251</v>
      </c>
      <c r="D25" s="93"/>
      <c r="E25" s="93" t="s">
        <v>67</v>
      </c>
    </row>
    <row r="26" spans="2:6" ht="30" x14ac:dyDescent="0.25">
      <c r="B26" s="93">
        <v>7</v>
      </c>
      <c r="C26" s="392" t="s">
        <v>246</v>
      </c>
      <c r="D26" s="92"/>
      <c r="E26" s="93" t="s">
        <v>67</v>
      </c>
    </row>
    <row r="27" spans="2:6" ht="30" x14ac:dyDescent="0.25">
      <c r="B27" s="93">
        <v>8</v>
      </c>
      <c r="C27" s="392" t="s">
        <v>252</v>
      </c>
      <c r="D27" s="93" t="s">
        <v>67</v>
      </c>
      <c r="E27" s="93"/>
    </row>
    <row r="28" spans="2:6" ht="30" x14ac:dyDescent="0.25">
      <c r="B28" s="93">
        <v>9</v>
      </c>
      <c r="C28" s="392" t="s">
        <v>236</v>
      </c>
      <c r="D28" s="93"/>
      <c r="E28" s="93" t="s">
        <v>67</v>
      </c>
    </row>
    <row r="29" spans="2:6" ht="30" x14ac:dyDescent="0.25">
      <c r="B29" s="93">
        <v>10</v>
      </c>
      <c r="C29" s="392" t="s">
        <v>253</v>
      </c>
      <c r="D29" s="93" t="s">
        <v>67</v>
      </c>
      <c r="E29" s="93"/>
    </row>
    <row r="30" spans="2:6" s="378" customFormat="1" ht="30" x14ac:dyDescent="0.25">
      <c r="B30" s="403">
        <v>12</v>
      </c>
      <c r="C30" s="404" t="s">
        <v>266</v>
      </c>
      <c r="D30" s="403" t="s">
        <v>67</v>
      </c>
      <c r="E30" s="403"/>
    </row>
    <row r="31" spans="2:6" ht="18" customHeight="1" x14ac:dyDescent="0.25">
      <c r="B31" s="93">
        <v>13</v>
      </c>
      <c r="C31" s="392" t="s">
        <v>267</v>
      </c>
      <c r="D31" s="93"/>
      <c r="E31" s="93" t="s">
        <v>67</v>
      </c>
    </row>
    <row r="32" spans="2:6" x14ac:dyDescent="0.25">
      <c r="B32" s="403">
        <v>14</v>
      </c>
      <c r="C32" s="404" t="s">
        <v>254</v>
      </c>
      <c r="D32" s="403"/>
      <c r="E32" s="403" t="s">
        <v>67</v>
      </c>
      <c r="F32" s="378"/>
    </row>
    <row r="33" spans="2:5" ht="30" x14ac:dyDescent="0.25">
      <c r="B33" s="403">
        <v>15</v>
      </c>
      <c r="C33" s="404" t="s">
        <v>268</v>
      </c>
      <c r="D33" s="403" t="s">
        <v>67</v>
      </c>
      <c r="E33" s="405"/>
    </row>
    <row r="34" spans="2:5" x14ac:dyDescent="0.25">
      <c r="B34" s="403">
        <v>16</v>
      </c>
      <c r="C34" s="404" t="s">
        <v>255</v>
      </c>
      <c r="D34" s="403" t="s">
        <v>67</v>
      </c>
      <c r="E34" s="405"/>
    </row>
    <row r="35" spans="2:5" ht="30" x14ac:dyDescent="0.25">
      <c r="B35" s="403">
        <v>17</v>
      </c>
      <c r="C35" s="406" t="s">
        <v>256</v>
      </c>
      <c r="D35" s="403" t="s">
        <v>67</v>
      </c>
      <c r="E35" s="405"/>
    </row>
    <row r="36" spans="2:5" x14ac:dyDescent="0.25">
      <c r="B36" s="403">
        <f>B35+1</f>
        <v>18</v>
      </c>
      <c r="C36" s="407" t="s">
        <v>237</v>
      </c>
      <c r="D36" s="405"/>
      <c r="E36" s="403" t="s">
        <v>67</v>
      </c>
    </row>
    <row r="37" spans="2:5" ht="30" x14ac:dyDescent="0.25">
      <c r="B37" s="403">
        <f t="shared" ref="B37:B42" si="0">B36+1</f>
        <v>19</v>
      </c>
      <c r="C37" s="404" t="s">
        <v>259</v>
      </c>
      <c r="D37" s="403"/>
      <c r="E37" s="403" t="s">
        <v>67</v>
      </c>
    </row>
    <row r="38" spans="2:5" ht="16.149999999999999" customHeight="1" x14ac:dyDescent="0.25">
      <c r="B38" s="403">
        <f t="shared" si="0"/>
        <v>20</v>
      </c>
      <c r="C38" s="404" t="s">
        <v>262</v>
      </c>
      <c r="D38" s="403"/>
      <c r="E38" s="403" t="s">
        <v>67</v>
      </c>
    </row>
    <row r="39" spans="2:5" s="378" customFormat="1" ht="29.25" customHeight="1" x14ac:dyDescent="0.25">
      <c r="B39" s="403">
        <f t="shared" si="0"/>
        <v>21</v>
      </c>
      <c r="C39" s="404" t="s">
        <v>230</v>
      </c>
      <c r="D39" s="403"/>
      <c r="E39" s="403" t="s">
        <v>67</v>
      </c>
    </row>
    <row r="40" spans="2:5" s="378" customFormat="1" x14ac:dyDescent="0.25">
      <c r="B40" s="403">
        <f t="shared" si="0"/>
        <v>22</v>
      </c>
      <c r="C40" s="404" t="s">
        <v>231</v>
      </c>
      <c r="D40" s="403"/>
      <c r="E40" s="403" t="s">
        <v>67</v>
      </c>
    </row>
    <row r="41" spans="2:5" x14ac:dyDescent="0.25">
      <c r="B41" s="403">
        <f t="shared" si="0"/>
        <v>23</v>
      </c>
      <c r="C41" s="392" t="s">
        <v>238</v>
      </c>
      <c r="D41" s="93" t="s">
        <v>67</v>
      </c>
      <c r="E41" s="92"/>
    </row>
    <row r="42" spans="2:5" x14ac:dyDescent="0.25">
      <c r="B42" s="403">
        <f t="shared" si="0"/>
        <v>24</v>
      </c>
      <c r="C42" s="392" t="s">
        <v>257</v>
      </c>
      <c r="D42" s="93" t="s">
        <v>67</v>
      </c>
      <c r="E42" s="92"/>
    </row>
  </sheetData>
  <pageMargins left="0.25" right="0.25" top="0.25" bottom="0.25" header="0.3" footer="0.3"/>
  <pageSetup paperSize="9" scale="95" orientation="portrait" verticalDpi="4294967295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workbookViewId="0">
      <selection activeCell="H5" sqref="H5"/>
    </sheetView>
  </sheetViews>
  <sheetFormatPr defaultRowHeight="15" x14ac:dyDescent="0.25"/>
  <cols>
    <col min="1" max="1" width="3.28515625" customWidth="1"/>
    <col min="2" max="2" width="32.42578125" customWidth="1"/>
    <col min="3" max="3" width="9.85546875" customWidth="1"/>
    <col min="4" max="4" width="10.85546875" customWidth="1"/>
    <col min="5" max="5" width="10.140625" customWidth="1"/>
    <col min="6" max="6" width="10.5703125" customWidth="1"/>
    <col min="7" max="7" width="8.5703125" customWidth="1"/>
    <col min="8" max="8" width="7.5703125" customWidth="1"/>
    <col min="9" max="9" width="7.7109375" customWidth="1"/>
    <col min="10" max="10" width="12.28515625" customWidth="1"/>
    <col min="11" max="11" width="10.85546875" customWidth="1"/>
    <col min="12" max="12" width="16.28515625" customWidth="1"/>
    <col min="13" max="13" width="18.5703125" customWidth="1"/>
    <col min="14" max="14" width="10.140625" hidden="1" customWidth="1"/>
    <col min="15" max="15" width="7.28515625" hidden="1" customWidth="1"/>
    <col min="16" max="20" width="0" hidden="1" customWidth="1"/>
  </cols>
  <sheetData>
    <row r="2" spans="1:21" ht="15.75" thickBot="1" x14ac:dyDescent="0.3"/>
    <row r="3" spans="1:21" ht="37.9" customHeight="1" x14ac:dyDescent="0.25">
      <c r="B3" s="87" t="s">
        <v>0</v>
      </c>
      <c r="C3" s="178" t="s">
        <v>177</v>
      </c>
      <c r="D3" s="64" t="s">
        <v>60</v>
      </c>
      <c r="E3" s="64" t="s">
        <v>61</v>
      </c>
      <c r="F3" s="99" t="s">
        <v>160</v>
      </c>
      <c r="G3" s="411" t="s">
        <v>158</v>
      </c>
      <c r="H3" s="412"/>
      <c r="I3" s="413"/>
      <c r="J3" s="64" t="s">
        <v>166</v>
      </c>
      <c r="K3" s="64" t="s">
        <v>152</v>
      </c>
      <c r="L3" s="64" t="s">
        <v>148</v>
      </c>
      <c r="M3" s="66" t="s">
        <v>150</v>
      </c>
      <c r="N3" s="446" t="s">
        <v>62</v>
      </c>
      <c r="O3" s="443"/>
      <c r="P3" s="443" t="s">
        <v>63</v>
      </c>
      <c r="Q3" s="443"/>
      <c r="R3" s="443"/>
      <c r="S3" s="444" t="s">
        <v>64</v>
      </c>
      <c r="T3" s="444"/>
    </row>
    <row r="4" spans="1:21" ht="24" customHeight="1" x14ac:dyDescent="0.25">
      <c r="B4" s="67"/>
      <c r="C4" s="60" t="s">
        <v>111</v>
      </c>
      <c r="D4" s="55" t="s">
        <v>140</v>
      </c>
      <c r="E4" s="55" t="s">
        <v>140</v>
      </c>
      <c r="F4" s="113" t="s">
        <v>159</v>
      </c>
      <c r="G4" s="93" t="s">
        <v>139</v>
      </c>
      <c r="H4" s="93" t="s">
        <v>109</v>
      </c>
      <c r="I4" s="93" t="s">
        <v>176</v>
      </c>
      <c r="J4" s="55" t="s">
        <v>139</v>
      </c>
      <c r="K4" s="55" t="s">
        <v>146</v>
      </c>
      <c r="L4" s="55" t="s">
        <v>149</v>
      </c>
      <c r="M4" s="68" t="s">
        <v>151</v>
      </c>
      <c r="N4" s="445"/>
      <c r="O4" s="429"/>
      <c r="P4" s="429" t="s">
        <v>60</v>
      </c>
      <c r="Q4" s="429"/>
      <c r="R4" s="55" t="s">
        <v>61</v>
      </c>
      <c r="S4" s="55" t="s">
        <v>60</v>
      </c>
      <c r="T4" s="55" t="s">
        <v>61</v>
      </c>
    </row>
    <row r="5" spans="1:21" ht="22.9" customHeight="1" x14ac:dyDescent="0.25">
      <c r="B5" s="69" t="s">
        <v>99</v>
      </c>
      <c r="C5" s="60">
        <v>880</v>
      </c>
      <c r="D5" s="55">
        <v>13.5</v>
      </c>
      <c r="E5" s="55">
        <v>13.5</v>
      </c>
      <c r="F5" s="55">
        <f>(D5*2/3)+(E5*1/3)</f>
        <v>13.5</v>
      </c>
      <c r="G5" s="414">
        <f>182*24</f>
        <v>4368</v>
      </c>
      <c r="H5" s="78">
        <f>$G$5*F5%/24</f>
        <v>24.570000000000004</v>
      </c>
      <c r="I5" s="143">
        <f>H5*1000/C5</f>
        <v>27.92045454545455</v>
      </c>
      <c r="J5" s="97">
        <f>H5*24</f>
        <v>589.68000000000006</v>
      </c>
      <c r="K5" s="59">
        <v>29555</v>
      </c>
      <c r="L5" s="59">
        <v>1000</v>
      </c>
      <c r="M5" s="70">
        <f>J5*K5*L5/100000</f>
        <v>174279.92400000003</v>
      </c>
      <c r="N5" s="425" t="s">
        <v>65</v>
      </c>
      <c r="O5" s="426"/>
      <c r="P5" s="428"/>
      <c r="Q5" s="428"/>
      <c r="R5" s="37"/>
      <c r="S5" s="37"/>
      <c r="T5" s="37"/>
    </row>
    <row r="6" spans="1:21" ht="20.45" customHeight="1" x14ac:dyDescent="0.25">
      <c r="B6" s="71" t="s">
        <v>100</v>
      </c>
      <c r="C6" s="153">
        <v>965</v>
      </c>
      <c r="D6" s="57">
        <v>10.6</v>
      </c>
      <c r="E6" s="57">
        <v>10.6</v>
      </c>
      <c r="F6" s="55">
        <f>(D6*2/3)+(E6*1/3)</f>
        <v>10.6</v>
      </c>
      <c r="G6" s="415"/>
      <c r="H6" s="78">
        <f>$G$5*F6%/24</f>
        <v>19.291999999999998</v>
      </c>
      <c r="I6" s="143">
        <f t="shared" ref="I6:I8" si="0">H6*1000/C6</f>
        <v>19.991709844559583</v>
      </c>
      <c r="J6" s="97">
        <f>H6*24</f>
        <v>463.00799999999992</v>
      </c>
      <c r="K6" s="59">
        <v>29555</v>
      </c>
      <c r="L6" s="59">
        <v>1000</v>
      </c>
      <c r="M6" s="70">
        <f t="shared" ref="M6:M8" si="1">J6*K6*L6/100000</f>
        <v>136842.01439999999</v>
      </c>
      <c r="N6" s="425" t="s">
        <v>69</v>
      </c>
      <c r="O6" s="426"/>
      <c r="P6" s="428"/>
      <c r="Q6" s="428"/>
      <c r="R6" s="37"/>
      <c r="S6" s="37"/>
      <c r="T6" s="37"/>
    </row>
    <row r="7" spans="1:21" ht="21" customHeight="1" x14ac:dyDescent="0.25">
      <c r="B7" s="69" t="s">
        <v>93</v>
      </c>
      <c r="C7" s="60">
        <v>920</v>
      </c>
      <c r="D7" s="55">
        <v>61.6</v>
      </c>
      <c r="E7" s="55">
        <v>61.6</v>
      </c>
      <c r="F7" s="55">
        <f>(D7*2/3)+(E7*1/3)</f>
        <v>61.600000000000009</v>
      </c>
      <c r="G7" s="415"/>
      <c r="H7" s="78">
        <f>$G$5*F7%/24</f>
        <v>112.11200000000002</v>
      </c>
      <c r="I7" s="143">
        <f t="shared" si="0"/>
        <v>121.86086956521743</v>
      </c>
      <c r="J7" s="97">
        <f>H7*24</f>
        <v>2690.6880000000006</v>
      </c>
      <c r="K7" s="59">
        <v>29555</v>
      </c>
      <c r="L7" s="59">
        <v>1000</v>
      </c>
      <c r="M7" s="70">
        <f t="shared" si="1"/>
        <v>795232.83840000012</v>
      </c>
      <c r="N7" s="425" t="s">
        <v>70</v>
      </c>
      <c r="O7" s="426"/>
      <c r="P7" s="428"/>
      <c r="Q7" s="428"/>
      <c r="R7" s="37"/>
      <c r="S7" s="37"/>
      <c r="T7" s="37"/>
    </row>
    <row r="8" spans="1:21" ht="21" customHeight="1" x14ac:dyDescent="0.25">
      <c r="B8" s="69" t="s">
        <v>138</v>
      </c>
      <c r="C8" s="60">
        <v>870</v>
      </c>
      <c r="D8" s="55">
        <v>14.3</v>
      </c>
      <c r="E8" s="55">
        <v>14.3</v>
      </c>
      <c r="F8" s="55">
        <f>(D8*2/3)+(E8*1/3)</f>
        <v>14.3</v>
      </c>
      <c r="G8" s="416"/>
      <c r="H8" s="78">
        <f>$G$5*F8%/24</f>
        <v>26.026</v>
      </c>
      <c r="I8" s="143">
        <f t="shared" si="0"/>
        <v>29.914942528735633</v>
      </c>
      <c r="J8" s="97">
        <f>H8*24</f>
        <v>624.62400000000002</v>
      </c>
      <c r="K8" s="59">
        <v>29555</v>
      </c>
      <c r="L8" s="59">
        <v>1000</v>
      </c>
      <c r="M8" s="70">
        <f t="shared" si="1"/>
        <v>184607.6232</v>
      </c>
      <c r="N8" s="427" t="s">
        <v>71</v>
      </c>
      <c r="O8" s="428"/>
      <c r="P8" s="428"/>
      <c r="Q8" s="428"/>
      <c r="R8" s="37"/>
      <c r="S8" s="37"/>
      <c r="T8" s="37"/>
    </row>
    <row r="9" spans="1:21" ht="19.899999999999999" customHeight="1" thickBot="1" x14ac:dyDescent="0.3">
      <c r="B9" s="94" t="s">
        <v>76</v>
      </c>
      <c r="C9" s="145"/>
      <c r="D9" s="95">
        <f>SUM(D5:D8)</f>
        <v>100</v>
      </c>
      <c r="E9" s="95">
        <f t="shared" ref="E9:F9" si="2">SUM(E5:E8)</f>
        <v>100</v>
      </c>
      <c r="F9" s="95">
        <f t="shared" si="2"/>
        <v>100.00000000000001</v>
      </c>
      <c r="G9" s="95">
        <f>SUM(G5:G8)</f>
        <v>4368</v>
      </c>
      <c r="H9" s="95">
        <f t="shared" ref="H9:J9" si="3">SUM(H5:H8)</f>
        <v>182.00000000000003</v>
      </c>
      <c r="I9" s="154">
        <f t="shared" si="3"/>
        <v>199.68797648396719</v>
      </c>
      <c r="J9" s="98">
        <f t="shared" si="3"/>
        <v>4368.0000000000009</v>
      </c>
      <c r="K9" s="95"/>
      <c r="L9" s="95"/>
      <c r="M9" s="182">
        <f t="shared" ref="M9" si="4">SUM(M5:M8)</f>
        <v>1290962.4000000001</v>
      </c>
      <c r="N9" s="427" t="s">
        <v>72</v>
      </c>
      <c r="O9" s="428"/>
      <c r="P9" s="428"/>
      <c r="Q9" s="428"/>
      <c r="R9" s="37"/>
      <c r="S9" s="37"/>
      <c r="T9" s="37"/>
      <c r="U9">
        <f>17428</f>
        <v>17428</v>
      </c>
    </row>
    <row r="10" spans="1:21" ht="26.45" customHeight="1" thickTop="1" thickBot="1" x14ac:dyDescent="0.3">
      <c r="B10" s="126" t="s">
        <v>66</v>
      </c>
      <c r="C10" s="90"/>
      <c r="D10" s="186">
        <v>2.9</v>
      </c>
      <c r="E10" s="186">
        <v>2.8</v>
      </c>
      <c r="F10" s="127">
        <f>(D10*2/3)+(E10*1/3)</f>
        <v>2.8666666666666667</v>
      </c>
      <c r="G10" s="127">
        <f>G9*F10%</f>
        <v>125.21599999999999</v>
      </c>
      <c r="H10" s="127">
        <f>H9*F10%</f>
        <v>5.2173333333333343</v>
      </c>
      <c r="J10" s="128">
        <f>J9*F10%</f>
        <v>125.21600000000002</v>
      </c>
      <c r="K10" s="88"/>
      <c r="L10" s="88"/>
      <c r="M10" s="129"/>
      <c r="N10" s="423" t="s">
        <v>73</v>
      </c>
      <c r="O10" s="424"/>
      <c r="P10" s="453"/>
      <c r="Q10" s="424"/>
      <c r="R10" s="21"/>
      <c r="S10" s="21"/>
      <c r="T10" s="21"/>
    </row>
    <row r="11" spans="1:21" ht="20.45" customHeight="1" thickBot="1" x14ac:dyDescent="0.3">
      <c r="B11" s="133" t="s">
        <v>175</v>
      </c>
      <c r="C11" s="146"/>
      <c r="D11" s="134">
        <f>D9+D10</f>
        <v>102.9</v>
      </c>
      <c r="E11" s="134">
        <f t="shared" ref="E11:J11" si="5">E9+E10</f>
        <v>102.8</v>
      </c>
      <c r="F11" s="179">
        <f t="shared" si="5"/>
        <v>102.86666666666667</v>
      </c>
      <c r="G11" s="179">
        <f t="shared" si="5"/>
        <v>4493.2160000000003</v>
      </c>
      <c r="H11" s="135"/>
      <c r="I11" s="135"/>
      <c r="J11" s="136">
        <f t="shared" si="5"/>
        <v>4493.2160000000013</v>
      </c>
      <c r="K11" s="137"/>
      <c r="L11" s="137"/>
      <c r="M11" s="138"/>
      <c r="N11" s="19"/>
      <c r="O11" s="20"/>
      <c r="P11" s="89"/>
      <c r="Q11" s="20"/>
      <c r="R11" s="21"/>
      <c r="S11" s="21"/>
      <c r="T11" s="21"/>
    </row>
    <row r="12" spans="1:21" ht="40.9" customHeight="1" thickBot="1" x14ac:dyDescent="0.3">
      <c r="B12" s="417" t="s">
        <v>21</v>
      </c>
      <c r="C12" s="147"/>
      <c r="D12" s="130" t="s">
        <v>60</v>
      </c>
      <c r="E12" s="130" t="s">
        <v>61</v>
      </c>
      <c r="F12" s="131" t="s">
        <v>161</v>
      </c>
      <c r="G12" s="419" t="s">
        <v>162</v>
      </c>
      <c r="H12" s="420"/>
      <c r="I12" s="144"/>
      <c r="J12" s="130" t="s">
        <v>157</v>
      </c>
      <c r="K12" s="130" t="s">
        <v>152</v>
      </c>
      <c r="L12" s="130" t="s">
        <v>148</v>
      </c>
      <c r="M12" s="132" t="s">
        <v>163</v>
      </c>
      <c r="N12" s="454" t="s">
        <v>75</v>
      </c>
      <c r="O12" s="455"/>
      <c r="P12" s="456">
        <v>1</v>
      </c>
      <c r="Q12" s="457"/>
      <c r="R12" s="24">
        <v>1</v>
      </c>
      <c r="S12" s="24">
        <v>1</v>
      </c>
      <c r="T12" s="24">
        <v>1</v>
      </c>
    </row>
    <row r="13" spans="1:21" ht="26.45" customHeight="1" thickBot="1" x14ac:dyDescent="0.3">
      <c r="B13" s="418"/>
      <c r="C13" s="147"/>
      <c r="D13" s="72" t="s">
        <v>140</v>
      </c>
      <c r="E13" s="72" t="s">
        <v>140</v>
      </c>
      <c r="F13" s="114" t="s">
        <v>159</v>
      </c>
      <c r="G13" s="102" t="s">
        <v>139</v>
      </c>
      <c r="H13" s="102" t="s">
        <v>109</v>
      </c>
      <c r="I13" s="102" t="s">
        <v>176</v>
      </c>
      <c r="J13" s="72" t="s">
        <v>139</v>
      </c>
      <c r="K13" s="72" t="s">
        <v>146</v>
      </c>
      <c r="L13" s="72" t="s">
        <v>149</v>
      </c>
      <c r="M13" s="73" t="s">
        <v>151</v>
      </c>
      <c r="N13" s="22"/>
      <c r="O13" s="23"/>
      <c r="P13" s="81"/>
      <c r="Q13" s="24"/>
      <c r="R13" s="24"/>
      <c r="S13" s="24"/>
      <c r="T13" s="24"/>
    </row>
    <row r="14" spans="1:21" ht="20.45" customHeight="1" thickBot="1" x14ac:dyDescent="0.3">
      <c r="A14" s="112" t="s">
        <v>9</v>
      </c>
      <c r="B14" s="100" t="s">
        <v>65</v>
      </c>
      <c r="C14" s="120"/>
      <c r="D14" s="164">
        <v>0.5</v>
      </c>
      <c r="E14" s="164">
        <v>0.4</v>
      </c>
      <c r="F14" s="101">
        <f>(D14*2/3)+(E14*1/3)</f>
        <v>0.46666666666666667</v>
      </c>
      <c r="G14" s="101">
        <f t="shared" ref="G14:G21" si="6">$J$11*F14%</f>
        <v>20.968341333333342</v>
      </c>
      <c r="H14" s="96">
        <f t="shared" ref="H14:H21" si="7">G14/24</f>
        <v>0.87368088888888928</v>
      </c>
      <c r="I14" s="96"/>
      <c r="J14" s="96">
        <f t="shared" ref="J14:J21" si="8">G14</f>
        <v>20.968341333333342</v>
      </c>
      <c r="K14" s="80">
        <v>0</v>
      </c>
      <c r="L14" s="62">
        <v>1000</v>
      </c>
      <c r="M14" s="104">
        <f>J14*K14*L14</f>
        <v>0</v>
      </c>
      <c r="N14" s="22"/>
      <c r="O14" s="23"/>
      <c r="P14" s="81"/>
      <c r="Q14" s="24"/>
      <c r="R14" s="24"/>
      <c r="S14" s="24"/>
      <c r="T14" s="24"/>
    </row>
    <row r="15" spans="1:21" ht="19.899999999999999" customHeight="1" thickBot="1" x14ac:dyDescent="0.3">
      <c r="A15" s="112" t="s">
        <v>10</v>
      </c>
      <c r="B15" s="82" t="s">
        <v>69</v>
      </c>
      <c r="C15" s="120"/>
      <c r="D15" s="165">
        <v>0.1</v>
      </c>
      <c r="E15" s="165">
        <v>0.1</v>
      </c>
      <c r="F15" s="91">
        <f t="shared" ref="F15:F21" si="9">(D15*2/3)+(E15*1/3)</f>
        <v>0.1</v>
      </c>
      <c r="G15" s="91">
        <f t="shared" si="6"/>
        <v>4.4932160000000012</v>
      </c>
      <c r="H15" s="77">
        <f t="shared" si="7"/>
        <v>0.18721733333333337</v>
      </c>
      <c r="I15" s="103"/>
      <c r="J15" s="103">
        <f t="shared" si="8"/>
        <v>4.4932160000000012</v>
      </c>
      <c r="K15" s="180">
        <v>13306</v>
      </c>
      <c r="L15" s="62">
        <v>1000</v>
      </c>
      <c r="M15" s="105">
        <f>J15*K15*L15/100000</f>
        <v>597.86732096000014</v>
      </c>
      <c r="N15" s="22"/>
      <c r="O15" s="23"/>
      <c r="P15" s="81"/>
      <c r="Q15" s="24"/>
      <c r="R15" s="24"/>
      <c r="S15" s="24"/>
      <c r="T15" s="24"/>
    </row>
    <row r="16" spans="1:21" ht="18" customHeight="1" thickBot="1" x14ac:dyDescent="0.3">
      <c r="A16" s="112" t="s">
        <v>11</v>
      </c>
      <c r="B16" s="82" t="s">
        <v>70</v>
      </c>
      <c r="C16" s="121">
        <v>550</v>
      </c>
      <c r="D16" s="166">
        <v>0.11</v>
      </c>
      <c r="E16" s="166">
        <v>0.12</v>
      </c>
      <c r="F16" s="91">
        <f t="shared" si="9"/>
        <v>0.11333333333333334</v>
      </c>
      <c r="G16" s="91">
        <f t="shared" si="6"/>
        <v>5.0923114666666685</v>
      </c>
      <c r="H16" s="77">
        <f t="shared" si="7"/>
        <v>0.21217964444444451</v>
      </c>
      <c r="I16" s="163">
        <f>H16*1000/C16</f>
        <v>0.38578117171717186</v>
      </c>
      <c r="J16" s="103">
        <f t="shared" si="8"/>
        <v>5.0923114666666685</v>
      </c>
      <c r="K16" s="180">
        <v>34951</v>
      </c>
      <c r="L16" s="62">
        <v>1000</v>
      </c>
      <c r="M16" s="105">
        <f t="shared" ref="M16:M21" si="10">J16*K16*L16/100000</f>
        <v>1779.8137807146672</v>
      </c>
      <c r="N16" s="22"/>
      <c r="O16" s="23"/>
      <c r="P16" s="81"/>
      <c r="Q16" s="24"/>
      <c r="R16" s="24"/>
      <c r="S16" s="24"/>
      <c r="T16" s="24"/>
    </row>
    <row r="17" spans="1:20" ht="21" customHeight="1" thickBot="1" x14ac:dyDescent="0.3">
      <c r="A17" s="112" t="s">
        <v>12</v>
      </c>
      <c r="B17" s="82" t="s">
        <v>153</v>
      </c>
      <c r="C17" s="121">
        <v>700</v>
      </c>
      <c r="D17" s="166">
        <v>11.41</v>
      </c>
      <c r="E17" s="166">
        <v>11.5</v>
      </c>
      <c r="F17" s="91">
        <f t="shared" si="9"/>
        <v>11.44</v>
      </c>
      <c r="G17" s="91">
        <f t="shared" si="6"/>
        <v>514.0239104000002</v>
      </c>
      <c r="H17" s="77">
        <f t="shared" si="7"/>
        <v>21.417662933333343</v>
      </c>
      <c r="I17" s="163">
        <f t="shared" ref="I17:I21" si="11">H17*1000/C17</f>
        <v>30.596661333333348</v>
      </c>
      <c r="J17" s="103">
        <f t="shared" si="8"/>
        <v>514.0239104000002</v>
      </c>
      <c r="K17" s="180">
        <v>40807</v>
      </c>
      <c r="L17" s="62">
        <v>1000</v>
      </c>
      <c r="M17" s="105">
        <f t="shared" si="10"/>
        <v>209757.7371169281</v>
      </c>
      <c r="N17" s="22"/>
      <c r="O17" s="23"/>
      <c r="P17" s="81"/>
      <c r="Q17" s="24"/>
      <c r="R17" s="24"/>
      <c r="S17" s="24"/>
      <c r="T17" s="24"/>
    </row>
    <row r="18" spans="1:20" ht="21" customHeight="1" x14ac:dyDescent="0.25">
      <c r="A18" s="112" t="s">
        <v>28</v>
      </c>
      <c r="B18" s="69" t="s">
        <v>154</v>
      </c>
      <c r="C18" s="125">
        <v>750</v>
      </c>
      <c r="D18" s="166">
        <v>3.69</v>
      </c>
      <c r="E18" s="166">
        <v>3.71</v>
      </c>
      <c r="F18" s="91">
        <f t="shared" si="9"/>
        <v>3.6966666666666663</v>
      </c>
      <c r="G18" s="91">
        <f t="shared" si="6"/>
        <v>166.09921813333335</v>
      </c>
      <c r="H18" s="77">
        <f t="shared" si="7"/>
        <v>6.9208007555555566</v>
      </c>
      <c r="I18" s="163">
        <f t="shared" si="11"/>
        <v>9.2277343407407422</v>
      </c>
      <c r="J18" s="103">
        <f t="shared" si="8"/>
        <v>166.09921813333335</v>
      </c>
      <c r="K18" s="180">
        <v>40807</v>
      </c>
      <c r="L18" s="62">
        <v>1000</v>
      </c>
      <c r="M18" s="105">
        <f t="shared" si="10"/>
        <v>67780.107943669354</v>
      </c>
      <c r="N18" s="421" t="s">
        <v>77</v>
      </c>
      <c r="O18" s="422"/>
      <c r="P18" s="458" t="s">
        <v>78</v>
      </c>
      <c r="Q18" s="422"/>
      <c r="R18" s="24" t="s">
        <v>79</v>
      </c>
      <c r="S18" s="24">
        <v>100</v>
      </c>
      <c r="T18" s="24">
        <v>100</v>
      </c>
    </row>
    <row r="19" spans="1:20" ht="18.600000000000001" customHeight="1" x14ac:dyDescent="0.25">
      <c r="A19" s="112" t="s">
        <v>29</v>
      </c>
      <c r="B19" s="69" t="s">
        <v>156</v>
      </c>
      <c r="C19" s="125">
        <v>810</v>
      </c>
      <c r="D19" s="166">
        <v>35.1</v>
      </c>
      <c r="E19" s="166">
        <v>35</v>
      </c>
      <c r="F19" s="91">
        <f t="shared" si="9"/>
        <v>35.06666666666667</v>
      </c>
      <c r="G19" s="91">
        <f t="shared" si="6"/>
        <v>1575.6210773333339</v>
      </c>
      <c r="H19" s="77">
        <f t="shared" si="7"/>
        <v>65.650878222222246</v>
      </c>
      <c r="I19" s="163">
        <f t="shared" si="11"/>
        <v>81.050466941015131</v>
      </c>
      <c r="J19" s="103">
        <f t="shared" si="8"/>
        <v>1575.6210773333339</v>
      </c>
      <c r="K19" s="180">
        <v>41587</v>
      </c>
      <c r="L19" s="62">
        <v>1000</v>
      </c>
      <c r="M19" s="105">
        <f t="shared" si="10"/>
        <v>655253.53743061353</v>
      </c>
      <c r="N19" s="427"/>
      <c r="O19" s="428"/>
      <c r="P19" s="428"/>
      <c r="Q19" s="428"/>
      <c r="R19" s="428"/>
      <c r="S19" s="428"/>
      <c r="T19" s="428"/>
    </row>
    <row r="20" spans="1:20" ht="19.899999999999999" customHeight="1" x14ac:dyDescent="0.25">
      <c r="A20" s="112" t="s">
        <v>30</v>
      </c>
      <c r="B20" s="69" t="s">
        <v>74</v>
      </c>
      <c r="C20" s="125">
        <v>840</v>
      </c>
      <c r="D20" s="166">
        <v>50.69</v>
      </c>
      <c r="E20" s="166">
        <v>50.65</v>
      </c>
      <c r="F20" s="91">
        <f t="shared" si="9"/>
        <v>50.676666666666662</v>
      </c>
      <c r="G20" s="91">
        <f t="shared" si="6"/>
        <v>2277.0120949333336</v>
      </c>
      <c r="H20" s="77">
        <f t="shared" si="7"/>
        <v>94.875503955555573</v>
      </c>
      <c r="I20" s="163">
        <f t="shared" si="11"/>
        <v>112.94702851851854</v>
      </c>
      <c r="J20" s="103">
        <f t="shared" si="8"/>
        <v>2277.0120949333336</v>
      </c>
      <c r="K20" s="180">
        <v>41587</v>
      </c>
      <c r="L20" s="62">
        <v>1000</v>
      </c>
      <c r="M20" s="105">
        <f t="shared" si="10"/>
        <v>946941.01991992549</v>
      </c>
      <c r="N20" s="83"/>
      <c r="O20" s="37"/>
      <c r="P20" s="37"/>
      <c r="Q20" s="37"/>
      <c r="R20" s="37"/>
      <c r="S20" s="37"/>
      <c r="T20" s="37"/>
    </row>
    <row r="21" spans="1:20" ht="18.600000000000001" customHeight="1" thickBot="1" x14ac:dyDescent="0.3">
      <c r="A21" s="112" t="s">
        <v>31</v>
      </c>
      <c r="B21" s="106" t="s">
        <v>155</v>
      </c>
      <c r="C21" s="125">
        <v>840</v>
      </c>
      <c r="D21" s="167">
        <v>1</v>
      </c>
      <c r="E21" s="167">
        <v>1</v>
      </c>
      <c r="F21" s="107">
        <f t="shared" si="9"/>
        <v>1</v>
      </c>
      <c r="G21" s="107">
        <f t="shared" si="6"/>
        <v>44.93216000000001</v>
      </c>
      <c r="H21" s="108">
        <f t="shared" si="7"/>
        <v>1.8721733333333337</v>
      </c>
      <c r="I21" s="184">
        <f t="shared" si="11"/>
        <v>2.2287777777777782</v>
      </c>
      <c r="J21" s="109">
        <f t="shared" si="8"/>
        <v>44.93216000000001</v>
      </c>
      <c r="K21" s="181">
        <v>29555</v>
      </c>
      <c r="L21" s="79">
        <v>1000</v>
      </c>
      <c r="M21" s="111">
        <f t="shared" si="10"/>
        <v>13279.699888000005</v>
      </c>
      <c r="N21" s="83"/>
      <c r="O21" s="37"/>
      <c r="P21" s="37"/>
      <c r="Q21" s="37"/>
      <c r="R21" s="37"/>
      <c r="S21" s="37"/>
      <c r="T21" s="37"/>
    </row>
    <row r="22" spans="1:20" ht="24.6" customHeight="1" x14ac:dyDescent="0.25">
      <c r="B22" s="8" t="s">
        <v>164</v>
      </c>
      <c r="C22" s="151"/>
      <c r="D22" s="116">
        <f t="shared" ref="D22:J22" si="12">SUM(D14:D21)</f>
        <v>102.6</v>
      </c>
      <c r="E22" s="116">
        <f t="shared" si="12"/>
        <v>102.47999999999999</v>
      </c>
      <c r="F22" s="116">
        <f t="shared" si="12"/>
        <v>102.56</v>
      </c>
      <c r="G22" s="116">
        <f t="shared" si="12"/>
        <v>4608.2423296000015</v>
      </c>
      <c r="H22" s="116">
        <f t="shared" si="12"/>
        <v>192.0100970666667</v>
      </c>
      <c r="I22" s="116">
        <f t="shared" si="12"/>
        <v>236.4364500831027</v>
      </c>
      <c r="J22" s="116">
        <f t="shared" si="12"/>
        <v>4608.2423296000015</v>
      </c>
      <c r="K22" s="116"/>
      <c r="L22" s="116"/>
      <c r="M22" s="183">
        <f t="shared" ref="M22" si="13">SUM(M14:M21)</f>
        <v>1895389.783400811</v>
      </c>
      <c r="N22" s="37"/>
      <c r="O22" s="37"/>
      <c r="P22" s="37"/>
      <c r="Q22" s="37"/>
      <c r="R22" s="37"/>
      <c r="S22" s="37"/>
      <c r="T22" s="37"/>
    </row>
    <row r="23" spans="1:20" ht="22.15" customHeight="1" x14ac:dyDescent="0.25">
      <c r="B23" s="115" t="s">
        <v>165</v>
      </c>
      <c r="C23" s="115"/>
      <c r="D23" s="185">
        <f>D11-D22</f>
        <v>0.30000000000001137</v>
      </c>
      <c r="E23" s="92">
        <f>E11-E22</f>
        <v>0.32000000000000739</v>
      </c>
      <c r="F23" s="55"/>
      <c r="G23" s="55"/>
      <c r="H23" s="55"/>
      <c r="I23" s="55"/>
      <c r="J23" s="55"/>
      <c r="K23" s="55"/>
      <c r="L23" s="55"/>
      <c r="M23" s="55"/>
      <c r="N23" s="37"/>
      <c r="O23" s="428"/>
      <c r="P23" s="428"/>
      <c r="Q23" s="428"/>
      <c r="R23" s="428"/>
      <c r="S23" s="428"/>
      <c r="T23" s="428"/>
    </row>
    <row r="24" spans="1:20" x14ac:dyDescent="0.25">
      <c r="A24" s="2"/>
      <c r="B24" s="168"/>
      <c r="C24" s="168"/>
      <c r="D24" s="175">
        <f ca="1">SUM(D15:D35)</f>
        <v>204.7</v>
      </c>
      <c r="E24" s="175">
        <f ca="1">SUM(E15:E35)</f>
        <v>204.56</v>
      </c>
      <c r="F24" s="175">
        <f t="shared" ref="F24:H24" si="14">SUM(F15:F23)</f>
        <v>204.65333333333334</v>
      </c>
      <c r="G24" s="175"/>
      <c r="H24" s="175">
        <f t="shared" si="14"/>
        <v>383.14651324444452</v>
      </c>
      <c r="I24" s="170"/>
      <c r="J24" s="169"/>
    </row>
    <row r="25" spans="1:20" x14ac:dyDescent="0.25">
      <c r="A25" s="2"/>
      <c r="B25" s="171" t="s">
        <v>47</v>
      </c>
      <c r="C25" s="171"/>
      <c r="D25" s="176">
        <v>0</v>
      </c>
      <c r="E25" s="176">
        <v>0</v>
      </c>
      <c r="F25" s="176"/>
      <c r="G25" s="176"/>
      <c r="H25" s="176">
        <f>F24*24</f>
        <v>4911.68</v>
      </c>
      <c r="I25" s="172"/>
      <c r="J25" s="172"/>
    </row>
    <row r="26" spans="1:20" x14ac:dyDescent="0.25">
      <c r="A26" s="2"/>
      <c r="B26" s="171" t="s">
        <v>48</v>
      </c>
      <c r="C26" s="171"/>
      <c r="D26" s="172">
        <v>0</v>
      </c>
      <c r="E26" s="172">
        <v>0</v>
      </c>
      <c r="F26" s="172"/>
      <c r="G26" s="172"/>
      <c r="H26" s="172"/>
      <c r="I26" s="172"/>
      <c r="J26" s="172"/>
    </row>
    <row r="27" spans="1:20" ht="15.75" thickBot="1" x14ac:dyDescent="0.3">
      <c r="A27" s="2"/>
      <c r="B27" s="173"/>
      <c r="C27" s="173"/>
      <c r="D27" s="174"/>
      <c r="E27" s="174"/>
      <c r="F27" s="174"/>
      <c r="G27" s="174"/>
      <c r="H27" s="174"/>
      <c r="I27" s="174"/>
      <c r="J27" s="174"/>
    </row>
    <row r="28" spans="1:20" x14ac:dyDescent="0.25">
      <c r="A28" s="139"/>
      <c r="B28" s="140" t="s">
        <v>49</v>
      </c>
      <c r="C28" s="152"/>
      <c r="D28" s="449" t="s">
        <v>50</v>
      </c>
      <c r="E28" s="450"/>
      <c r="F28" s="451"/>
      <c r="G28" s="451"/>
      <c r="H28" s="451"/>
      <c r="I28" s="451"/>
      <c r="J28" s="451"/>
      <c r="K28" s="451"/>
      <c r="L28" s="451"/>
      <c r="M28" s="452"/>
    </row>
    <row r="29" spans="1:20" ht="21" x14ac:dyDescent="0.35">
      <c r="A29" s="139"/>
      <c r="B29" s="430" t="s">
        <v>167</v>
      </c>
      <c r="C29" s="431"/>
      <c r="D29" s="432"/>
      <c r="E29" s="141" t="s">
        <v>168</v>
      </c>
      <c r="F29" s="447">
        <v>2606766.11</v>
      </c>
      <c r="G29" s="447"/>
      <c r="H29" s="447"/>
      <c r="I29" s="447"/>
      <c r="J29" s="447"/>
      <c r="K29" s="447"/>
      <c r="L29" s="447"/>
      <c r="M29" s="448"/>
    </row>
    <row r="30" spans="1:20" ht="21" x14ac:dyDescent="0.35">
      <c r="A30" s="139"/>
      <c r="B30" s="433" t="s">
        <v>170</v>
      </c>
      <c r="C30" s="434"/>
      <c r="D30" s="435"/>
      <c r="E30" s="141" t="s">
        <v>169</v>
      </c>
      <c r="F30" s="447">
        <f>M9</f>
        <v>1290962.4000000001</v>
      </c>
      <c r="G30" s="447"/>
      <c r="H30" s="447"/>
      <c r="I30" s="447"/>
      <c r="J30" s="447"/>
      <c r="K30" s="447"/>
      <c r="L30" s="447"/>
      <c r="M30" s="448"/>
    </row>
    <row r="31" spans="1:20" ht="21" x14ac:dyDescent="0.35">
      <c r="A31" s="139"/>
      <c r="B31" s="433" t="s">
        <v>171</v>
      </c>
      <c r="C31" s="434"/>
      <c r="D31" s="435"/>
      <c r="E31" s="142" t="s">
        <v>172</v>
      </c>
      <c r="F31" s="439"/>
      <c r="G31" s="439"/>
      <c r="H31" s="439"/>
      <c r="I31" s="439"/>
      <c r="J31" s="439"/>
      <c r="K31" s="439"/>
      <c r="L31" s="439"/>
      <c r="M31" s="440"/>
    </row>
    <row r="32" spans="1:20" ht="29.25" thickBot="1" x14ac:dyDescent="0.5">
      <c r="A32" s="139"/>
      <c r="B32" s="436" t="s">
        <v>174</v>
      </c>
      <c r="C32" s="437"/>
      <c r="D32" s="438"/>
      <c r="E32" s="177" t="s">
        <v>173</v>
      </c>
      <c r="F32" s="441"/>
      <c r="G32" s="441"/>
      <c r="H32" s="441"/>
      <c r="I32" s="441"/>
      <c r="J32" s="441"/>
      <c r="K32" s="441"/>
      <c r="L32" s="441"/>
      <c r="M32" s="442"/>
    </row>
    <row r="35" spans="2:5" x14ac:dyDescent="0.25">
      <c r="B35" s="429" t="s">
        <v>81</v>
      </c>
      <c r="C35" s="429"/>
      <c r="D35" s="429"/>
      <c r="E35" s="429"/>
    </row>
  </sheetData>
  <mergeCells count="39">
    <mergeCell ref="P6:Q6"/>
    <mergeCell ref="B30:D30"/>
    <mergeCell ref="F29:M29"/>
    <mergeCell ref="F30:M30"/>
    <mergeCell ref="D28:E28"/>
    <mergeCell ref="F28:M28"/>
    <mergeCell ref="P10:Q10"/>
    <mergeCell ref="N12:O12"/>
    <mergeCell ref="P12:Q12"/>
    <mergeCell ref="N7:O7"/>
    <mergeCell ref="P7:Q7"/>
    <mergeCell ref="N8:O8"/>
    <mergeCell ref="P8:Q8"/>
    <mergeCell ref="N9:O9"/>
    <mergeCell ref="P9:Q9"/>
    <mergeCell ref="P18:Q18"/>
    <mergeCell ref="P3:R3"/>
    <mergeCell ref="S3:T3"/>
    <mergeCell ref="N4:O4"/>
    <mergeCell ref="P4:Q4"/>
    <mergeCell ref="N5:O5"/>
    <mergeCell ref="P5:Q5"/>
    <mergeCell ref="N3:O3"/>
    <mergeCell ref="N19:T19"/>
    <mergeCell ref="B35:E35"/>
    <mergeCell ref="O23:P23"/>
    <mergeCell ref="Q23:T23"/>
    <mergeCell ref="B29:D29"/>
    <mergeCell ref="B31:D31"/>
    <mergeCell ref="B32:D32"/>
    <mergeCell ref="F31:M31"/>
    <mergeCell ref="F32:M32"/>
    <mergeCell ref="G3:I3"/>
    <mergeCell ref="G5:G8"/>
    <mergeCell ref="B12:B13"/>
    <mergeCell ref="G12:H12"/>
    <mergeCell ref="N18:O18"/>
    <mergeCell ref="N10:O10"/>
    <mergeCell ref="N6:O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0"/>
  <sheetViews>
    <sheetView topLeftCell="A15" zoomScale="86" zoomScaleNormal="86" workbookViewId="0">
      <selection activeCell="G9" sqref="G9"/>
    </sheetView>
  </sheetViews>
  <sheetFormatPr defaultRowHeight="15" x14ac:dyDescent="0.25"/>
  <cols>
    <col min="1" max="1" width="3.28515625" customWidth="1"/>
    <col min="2" max="2" width="32.42578125" customWidth="1"/>
    <col min="3" max="3" width="9.85546875" customWidth="1"/>
    <col min="4" max="4" width="10.85546875" customWidth="1"/>
    <col min="5" max="5" width="10.140625" customWidth="1"/>
    <col min="6" max="6" width="11.7109375" customWidth="1"/>
    <col min="7" max="7" width="8.140625" customWidth="1"/>
    <col min="8" max="8" width="10.28515625" customWidth="1"/>
    <col min="9" max="9" width="9.5703125" customWidth="1"/>
    <col min="10" max="10" width="7.5703125" hidden="1" customWidth="1"/>
    <col min="11" max="11" width="7.7109375" hidden="1" customWidth="1"/>
    <col min="12" max="12" width="11.7109375" customWidth="1"/>
    <col min="13" max="13" width="12" customWidth="1"/>
    <col min="14" max="14" width="16.28515625" customWidth="1"/>
    <col min="15" max="15" width="18.570312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3" ht="15.75" thickBot="1" x14ac:dyDescent="0.3"/>
    <row r="3" spans="1:23" ht="37.9" customHeight="1" x14ac:dyDescent="0.25">
      <c r="B3" s="87" t="s">
        <v>0</v>
      </c>
      <c r="C3" s="178" t="s">
        <v>177</v>
      </c>
      <c r="D3" s="64" t="s">
        <v>60</v>
      </c>
      <c r="E3" s="64" t="s">
        <v>61</v>
      </c>
      <c r="F3" s="99" t="s">
        <v>160</v>
      </c>
      <c r="G3" s="411" t="s">
        <v>158</v>
      </c>
      <c r="H3" s="412"/>
      <c r="I3" s="412"/>
      <c r="J3" s="188"/>
      <c r="K3" s="189"/>
      <c r="L3" s="64" t="s">
        <v>166</v>
      </c>
      <c r="M3" s="64" t="s">
        <v>152</v>
      </c>
      <c r="N3" s="64" t="s">
        <v>148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3" ht="24" customHeight="1" x14ac:dyDescent="0.25">
      <c r="B4" s="67"/>
      <c r="C4" s="125" t="s">
        <v>111</v>
      </c>
      <c r="D4" s="121" t="s">
        <v>140</v>
      </c>
      <c r="E4" s="121" t="s">
        <v>140</v>
      </c>
      <c r="F4" s="113" t="s">
        <v>159</v>
      </c>
      <c r="G4" s="113" t="s">
        <v>109</v>
      </c>
      <c r="H4" s="113" t="s">
        <v>178</v>
      </c>
      <c r="I4" s="93" t="s">
        <v>139</v>
      </c>
      <c r="J4" s="93" t="s">
        <v>109</v>
      </c>
      <c r="K4" s="93" t="s">
        <v>176</v>
      </c>
      <c r="L4" s="121" t="s">
        <v>139</v>
      </c>
      <c r="M4" s="121" t="s">
        <v>146</v>
      </c>
      <c r="N4" s="121" t="s">
        <v>149</v>
      </c>
      <c r="O4" s="68" t="s">
        <v>151</v>
      </c>
      <c r="P4" s="445"/>
      <c r="Q4" s="429"/>
      <c r="R4" s="429" t="s">
        <v>60</v>
      </c>
      <c r="S4" s="429"/>
      <c r="T4" s="121" t="s">
        <v>61</v>
      </c>
      <c r="U4" s="121" t="s">
        <v>60</v>
      </c>
      <c r="V4" s="121" t="s">
        <v>61</v>
      </c>
    </row>
    <row r="5" spans="1:23" ht="17.45" customHeight="1" x14ac:dyDescent="0.25">
      <c r="B5" s="69" t="s">
        <v>99</v>
      </c>
      <c r="C5" s="125">
        <v>880</v>
      </c>
      <c r="D5" s="121">
        <v>13.5</v>
      </c>
      <c r="E5" s="121">
        <v>13.5</v>
      </c>
      <c r="F5" s="121">
        <f>(D5*2/3)+(E5*1/3)</f>
        <v>13.5</v>
      </c>
      <c r="G5" s="143">
        <f>182*F5%</f>
        <v>24.57</v>
      </c>
      <c r="H5" s="143">
        <f>G5*1000/C5</f>
        <v>27.920454545454547</v>
      </c>
      <c r="I5" s="239">
        <f>G5*24</f>
        <v>589.68000000000006</v>
      </c>
      <c r="J5" s="78">
        <f>$I$5*F5%/24</f>
        <v>3.3169500000000003</v>
      </c>
      <c r="K5" s="143">
        <f>J5*1000/C5</f>
        <v>3.7692613636363639</v>
      </c>
      <c r="L5" s="237">
        <f>G5*24</f>
        <v>589.68000000000006</v>
      </c>
      <c r="M5" s="59">
        <v>29555</v>
      </c>
      <c r="N5" s="59">
        <v>1000</v>
      </c>
      <c r="O5" s="70">
        <f>L5*M5*N5/100000</f>
        <v>174279.92400000003</v>
      </c>
      <c r="P5" s="425" t="s">
        <v>65</v>
      </c>
      <c r="Q5" s="426"/>
      <c r="R5" s="428"/>
      <c r="S5" s="428"/>
      <c r="T5" s="120"/>
      <c r="U5" s="120"/>
      <c r="V5" s="120"/>
    </row>
    <row r="6" spans="1:23" ht="19.149999999999999" customHeight="1" x14ac:dyDescent="0.25">
      <c r="B6" s="71" t="s">
        <v>100</v>
      </c>
      <c r="C6" s="153">
        <v>965</v>
      </c>
      <c r="D6" s="57">
        <v>10.6</v>
      </c>
      <c r="E6" s="57">
        <v>10.6</v>
      </c>
      <c r="F6" s="121">
        <f>(D6*2/3)+(E6*1/3)</f>
        <v>10.6</v>
      </c>
      <c r="G6" s="143">
        <f t="shared" ref="G6:G8" si="0">182*F6%</f>
        <v>19.291999999999998</v>
      </c>
      <c r="H6" s="143">
        <f t="shared" ref="H6:H8" si="1">G6*1000/C6</f>
        <v>19.991709844559583</v>
      </c>
      <c r="I6" s="239">
        <f t="shared" ref="I6:I8" si="2">G6*24</f>
        <v>463.00799999999992</v>
      </c>
      <c r="J6" s="78">
        <f>$I$5*F6%/24</f>
        <v>2.6044200000000002</v>
      </c>
      <c r="K6" s="143">
        <f t="shared" ref="K6:K8" si="3">J6*1000/C6</f>
        <v>2.6988808290155442</v>
      </c>
      <c r="L6" s="237">
        <f t="shared" ref="L6:L8" si="4">G6*24</f>
        <v>463.00799999999992</v>
      </c>
      <c r="M6" s="59">
        <v>29555</v>
      </c>
      <c r="N6" s="59">
        <v>1000</v>
      </c>
      <c r="O6" s="70">
        <f t="shared" ref="O6:O8" si="5">L6*M6*N6/100000</f>
        <v>136842.01439999999</v>
      </c>
      <c r="P6" s="425" t="s">
        <v>69</v>
      </c>
      <c r="Q6" s="426"/>
      <c r="R6" s="428"/>
      <c r="S6" s="428"/>
      <c r="T6" s="120"/>
      <c r="U6" s="120"/>
      <c r="V6" s="120"/>
    </row>
    <row r="7" spans="1:23" ht="17.45" customHeight="1" x14ac:dyDescent="0.25">
      <c r="B7" s="69" t="s">
        <v>93</v>
      </c>
      <c r="C7" s="125">
        <v>920</v>
      </c>
      <c r="D7" s="121">
        <v>61.6</v>
      </c>
      <c r="E7" s="121">
        <v>61.6</v>
      </c>
      <c r="F7" s="121">
        <f>(D7*2/3)+(E7*1/3)</f>
        <v>61.600000000000009</v>
      </c>
      <c r="G7" s="143">
        <f t="shared" si="0"/>
        <v>112.11200000000002</v>
      </c>
      <c r="H7" s="143">
        <f t="shared" si="1"/>
        <v>121.86086956521743</v>
      </c>
      <c r="I7" s="239">
        <f t="shared" si="2"/>
        <v>2690.6880000000006</v>
      </c>
      <c r="J7" s="78">
        <f>$I$5*F7%/24</f>
        <v>15.135120000000006</v>
      </c>
      <c r="K7" s="143">
        <f t="shared" si="3"/>
        <v>16.451217391304354</v>
      </c>
      <c r="L7" s="237">
        <f t="shared" si="4"/>
        <v>2690.6880000000006</v>
      </c>
      <c r="M7" s="59">
        <v>29555</v>
      </c>
      <c r="N7" s="59">
        <v>1000</v>
      </c>
      <c r="O7" s="70">
        <f t="shared" si="5"/>
        <v>795232.83840000012</v>
      </c>
      <c r="P7" s="425" t="s">
        <v>70</v>
      </c>
      <c r="Q7" s="426"/>
      <c r="R7" s="428"/>
      <c r="S7" s="428"/>
      <c r="T7" s="120"/>
      <c r="U7" s="120"/>
      <c r="V7" s="120"/>
    </row>
    <row r="8" spans="1:23" ht="19.149999999999999" customHeight="1" x14ac:dyDescent="0.25">
      <c r="B8" s="69" t="s">
        <v>138</v>
      </c>
      <c r="C8" s="125">
        <v>870</v>
      </c>
      <c r="D8" s="121">
        <v>14.3</v>
      </c>
      <c r="E8" s="121">
        <v>14.3</v>
      </c>
      <c r="F8" s="121">
        <f>(D8*2/3)+(E8*1/3)</f>
        <v>14.3</v>
      </c>
      <c r="G8" s="143">
        <f t="shared" si="0"/>
        <v>26.026000000000003</v>
      </c>
      <c r="H8" s="143">
        <f t="shared" si="1"/>
        <v>29.914942528735637</v>
      </c>
      <c r="I8" s="239">
        <f t="shared" si="2"/>
        <v>624.62400000000002</v>
      </c>
      <c r="J8" s="78">
        <f>$I$5*F8%/24</f>
        <v>3.5135100000000006</v>
      </c>
      <c r="K8" s="143">
        <f t="shared" si="3"/>
        <v>4.0385172413793109</v>
      </c>
      <c r="L8" s="237">
        <f t="shared" si="4"/>
        <v>624.62400000000002</v>
      </c>
      <c r="M8" s="59">
        <v>29555</v>
      </c>
      <c r="N8" s="59">
        <v>1000</v>
      </c>
      <c r="O8" s="70">
        <f t="shared" si="5"/>
        <v>184607.6232</v>
      </c>
      <c r="P8" s="427" t="s">
        <v>71</v>
      </c>
      <c r="Q8" s="428"/>
      <c r="R8" s="428"/>
      <c r="S8" s="428"/>
      <c r="T8" s="120"/>
      <c r="U8" s="120"/>
      <c r="V8" s="120"/>
    </row>
    <row r="9" spans="1:23" ht="19.899999999999999" customHeight="1" thickBot="1" x14ac:dyDescent="0.3">
      <c r="B9" s="192" t="s">
        <v>76</v>
      </c>
      <c r="C9" s="193"/>
      <c r="D9" s="194">
        <f>SUM(D5:D8)</f>
        <v>100</v>
      </c>
      <c r="E9" s="194">
        <f t="shared" ref="E9:H9" si="6">SUM(E5:E8)</f>
        <v>100</v>
      </c>
      <c r="F9" s="194">
        <f t="shared" si="6"/>
        <v>100.00000000000001</v>
      </c>
      <c r="G9" s="95">
        <f t="shared" si="6"/>
        <v>182.00000000000003</v>
      </c>
      <c r="H9" s="154">
        <f t="shared" si="6"/>
        <v>199.68797648396719</v>
      </c>
      <c r="I9" s="240">
        <f>SUM(I5:I8)</f>
        <v>4368.0000000000009</v>
      </c>
      <c r="J9" s="194">
        <f t="shared" ref="J9:L9" si="7">SUM(J5:J8)</f>
        <v>24.570000000000007</v>
      </c>
      <c r="K9" s="195">
        <f t="shared" si="7"/>
        <v>26.957876825335571</v>
      </c>
      <c r="L9" s="238">
        <f t="shared" si="7"/>
        <v>4368.0000000000009</v>
      </c>
      <c r="M9" s="194"/>
      <c r="N9" s="194"/>
      <c r="O9" s="204">
        <f t="shared" ref="O9" si="8">SUM(O5:O8)</f>
        <v>1290962.4000000001</v>
      </c>
      <c r="P9" s="427" t="s">
        <v>72</v>
      </c>
      <c r="Q9" s="428"/>
      <c r="R9" s="428"/>
      <c r="S9" s="428"/>
      <c r="T9" s="120"/>
      <c r="U9" s="120"/>
      <c r="V9" s="120"/>
      <c r="W9">
        <f>17428</f>
        <v>17428</v>
      </c>
    </row>
    <row r="10" spans="1:23" ht="26.45" customHeight="1" thickTop="1" thickBot="1" x14ac:dyDescent="0.3">
      <c r="B10" s="209" t="s">
        <v>179</v>
      </c>
      <c r="C10" s="210"/>
      <c r="D10" s="211">
        <v>2.9</v>
      </c>
      <c r="E10" s="211">
        <v>2.8</v>
      </c>
      <c r="F10" s="212">
        <f>(D10*2/3)+(E10*1/3)</f>
        <v>2.8666666666666667</v>
      </c>
      <c r="G10" s="202">
        <f>G9*F10%</f>
        <v>5.2173333333333343</v>
      </c>
      <c r="H10" s="203">
        <f>G10*1000*22.4/2.01</f>
        <v>58143.416252072981</v>
      </c>
      <c r="I10" s="213">
        <f>G10*24</f>
        <v>125.21600000000002</v>
      </c>
      <c r="J10" s="201">
        <f>J9*F10%</f>
        <v>0.70434000000000019</v>
      </c>
      <c r="K10" s="201"/>
      <c r="L10" s="207">
        <f>L9*F10%</f>
        <v>125.21600000000002</v>
      </c>
      <c r="M10" s="120"/>
      <c r="N10" s="120"/>
      <c r="O10" s="208"/>
      <c r="P10" s="423" t="s">
        <v>73</v>
      </c>
      <c r="Q10" s="424"/>
      <c r="R10" s="453"/>
      <c r="S10" s="424"/>
      <c r="T10" s="21"/>
      <c r="U10" s="21"/>
      <c r="V10" s="21"/>
    </row>
    <row r="11" spans="1:23" ht="20.45" customHeight="1" thickTop="1" thickBot="1" x14ac:dyDescent="0.3">
      <c r="B11" s="196" t="s">
        <v>175</v>
      </c>
      <c r="C11" s="79" t="s">
        <v>168</v>
      </c>
      <c r="D11" s="197">
        <f>D9+D10</f>
        <v>102.9</v>
      </c>
      <c r="E11" s="197">
        <f t="shared" ref="E11:L11" si="9">E9+E10</f>
        <v>102.8</v>
      </c>
      <c r="F11" s="198">
        <f t="shared" si="9"/>
        <v>102.86666666666667</v>
      </c>
      <c r="G11" s="198">
        <f t="shared" si="9"/>
        <v>187.21733333333336</v>
      </c>
      <c r="H11" s="198"/>
      <c r="I11" s="214">
        <f>I9+I10</f>
        <v>4493.2160000000013</v>
      </c>
      <c r="J11" s="199"/>
      <c r="K11" s="199"/>
      <c r="L11" s="200">
        <f t="shared" si="9"/>
        <v>4493.2160000000013</v>
      </c>
      <c r="M11" s="205"/>
      <c r="N11" s="205"/>
      <c r="O11" s="206"/>
      <c r="P11" s="122"/>
      <c r="Q11" s="123"/>
      <c r="R11" s="124"/>
      <c r="S11" s="123"/>
      <c r="T11" s="21"/>
      <c r="U11" s="21"/>
      <c r="V11" s="21"/>
    </row>
    <row r="12" spans="1:23" ht="40.9" customHeight="1" thickBot="1" x14ac:dyDescent="0.3">
      <c r="B12" s="417" t="s">
        <v>21</v>
      </c>
      <c r="C12" s="130" t="s">
        <v>177</v>
      </c>
      <c r="D12" s="130" t="s">
        <v>60</v>
      </c>
      <c r="E12" s="130" t="s">
        <v>61</v>
      </c>
      <c r="F12" s="131" t="s">
        <v>161</v>
      </c>
      <c r="G12" s="187"/>
      <c r="H12" s="187"/>
      <c r="I12" s="419" t="s">
        <v>162</v>
      </c>
      <c r="J12" s="420"/>
      <c r="K12" s="144"/>
      <c r="L12" s="130" t="s">
        <v>157</v>
      </c>
      <c r="M12" s="130" t="s">
        <v>152</v>
      </c>
      <c r="N12" s="130" t="s">
        <v>148</v>
      </c>
      <c r="O12" s="132" t="s">
        <v>163</v>
      </c>
      <c r="P12" s="454" t="s">
        <v>75</v>
      </c>
      <c r="Q12" s="455"/>
      <c r="R12" s="456">
        <v>1</v>
      </c>
      <c r="S12" s="457"/>
      <c r="T12" s="117">
        <v>1</v>
      </c>
      <c r="U12" s="117">
        <v>1</v>
      </c>
      <c r="V12" s="117">
        <v>1</v>
      </c>
    </row>
    <row r="13" spans="1:23" ht="26.45" customHeight="1" thickBot="1" x14ac:dyDescent="0.3">
      <c r="B13" s="418"/>
      <c r="C13" s="110" t="s">
        <v>111</v>
      </c>
      <c r="D13" s="72" t="s">
        <v>140</v>
      </c>
      <c r="E13" s="72" t="s">
        <v>140</v>
      </c>
      <c r="F13" s="114" t="s">
        <v>159</v>
      </c>
      <c r="G13" s="220" t="s">
        <v>109</v>
      </c>
      <c r="H13" s="220" t="s">
        <v>178</v>
      </c>
      <c r="I13" s="221" t="s">
        <v>139</v>
      </c>
      <c r="J13" s="102" t="s">
        <v>109</v>
      </c>
      <c r="K13" s="102" t="s">
        <v>176</v>
      </c>
      <c r="L13" s="72" t="s">
        <v>139</v>
      </c>
      <c r="M13" s="72" t="s">
        <v>146</v>
      </c>
      <c r="N13" s="72" t="s">
        <v>149</v>
      </c>
      <c r="O13" s="73" t="s">
        <v>151</v>
      </c>
      <c r="P13" s="22"/>
      <c r="Q13" s="23"/>
      <c r="R13" s="118"/>
      <c r="S13" s="117"/>
      <c r="T13" s="117"/>
      <c r="U13" s="117"/>
      <c r="V13" s="117"/>
    </row>
    <row r="14" spans="1:23" ht="20.45" customHeight="1" thickBot="1" x14ac:dyDescent="0.3">
      <c r="A14" s="219" t="s">
        <v>32</v>
      </c>
      <c r="B14" s="148" t="s">
        <v>65</v>
      </c>
      <c r="C14" s="190"/>
      <c r="D14" s="164">
        <v>0.5</v>
      </c>
      <c r="E14" s="164">
        <v>0.4</v>
      </c>
      <c r="F14" s="101">
        <f>(D14*2/3)+(E14*1/3)</f>
        <v>0.46666666666666667</v>
      </c>
      <c r="G14" s="101">
        <f>$I$9*F14%/24</f>
        <v>0.84933333333333361</v>
      </c>
      <c r="H14" s="101"/>
      <c r="I14" s="101">
        <f>G14*24</f>
        <v>20.384000000000007</v>
      </c>
      <c r="J14" s="96">
        <f t="shared" ref="J14:J21" si="10">I14/24</f>
        <v>0.84933333333333361</v>
      </c>
      <c r="K14" s="96"/>
      <c r="L14" s="96">
        <f t="shared" ref="L14:L21" si="11">I14</f>
        <v>20.384000000000007</v>
      </c>
      <c r="M14" s="80">
        <v>0</v>
      </c>
      <c r="N14" s="62">
        <v>1000</v>
      </c>
      <c r="O14" s="104">
        <f>L14*M14*N14</f>
        <v>0</v>
      </c>
      <c r="P14" s="22"/>
      <c r="Q14" s="23"/>
      <c r="R14" s="118"/>
      <c r="S14" s="117"/>
      <c r="T14" s="117"/>
      <c r="U14" s="117"/>
      <c r="V14" s="117"/>
    </row>
    <row r="15" spans="1:23" ht="19.899999999999999" customHeight="1" thickBot="1" x14ac:dyDescent="0.3">
      <c r="A15" s="219" t="s">
        <v>188</v>
      </c>
      <c r="B15" s="149" t="s">
        <v>69</v>
      </c>
      <c r="C15" s="120"/>
      <c r="D15" s="165">
        <v>0.1</v>
      </c>
      <c r="E15" s="165">
        <v>0.1</v>
      </c>
      <c r="F15" s="91">
        <f t="shared" ref="F15:F21" si="12">(D15*2/3)+(E15*1/3)</f>
        <v>0.1</v>
      </c>
      <c r="G15" s="101">
        <f t="shared" ref="G15:G21" si="13">$I$9*F15%/24</f>
        <v>0.18200000000000005</v>
      </c>
      <c r="H15" s="91"/>
      <c r="I15" s="101">
        <f t="shared" ref="I15:I21" si="14">G15*24</f>
        <v>4.3680000000000012</v>
      </c>
      <c r="J15" s="77">
        <f t="shared" si="10"/>
        <v>0.18200000000000005</v>
      </c>
      <c r="K15" s="103"/>
      <c r="L15" s="103">
        <f t="shared" si="11"/>
        <v>4.3680000000000012</v>
      </c>
      <c r="M15" s="180">
        <v>13306</v>
      </c>
      <c r="N15" s="62">
        <v>1000</v>
      </c>
      <c r="O15" s="105">
        <f>L15*M15*N15/100000</f>
        <v>581.20608000000016</v>
      </c>
      <c r="P15" s="22"/>
      <c r="Q15" s="23"/>
      <c r="R15" s="118"/>
      <c r="S15" s="117"/>
      <c r="T15" s="117"/>
      <c r="U15" s="117"/>
      <c r="V15" s="117"/>
    </row>
    <row r="16" spans="1:23" ht="18" customHeight="1" thickBot="1" x14ac:dyDescent="0.3">
      <c r="A16" s="219" t="s">
        <v>189</v>
      </c>
      <c r="B16" s="149" t="s">
        <v>70</v>
      </c>
      <c r="C16" s="121">
        <v>550</v>
      </c>
      <c r="D16" s="166">
        <v>0.11</v>
      </c>
      <c r="E16" s="166">
        <v>0.12</v>
      </c>
      <c r="F16" s="91">
        <f t="shared" si="12"/>
        <v>0.11333333333333334</v>
      </c>
      <c r="G16" s="101">
        <f t="shared" si="13"/>
        <v>0.20626666666666671</v>
      </c>
      <c r="H16" s="91">
        <f>G16*1000/C16</f>
        <v>0.3750303030303031</v>
      </c>
      <c r="I16" s="101">
        <f t="shared" si="14"/>
        <v>4.950400000000001</v>
      </c>
      <c r="J16" s="77">
        <f t="shared" si="10"/>
        <v>0.20626666666666671</v>
      </c>
      <c r="K16" s="163">
        <f>J16*1000/C16</f>
        <v>0.3750303030303031</v>
      </c>
      <c r="L16" s="103">
        <f t="shared" si="11"/>
        <v>4.950400000000001</v>
      </c>
      <c r="M16" s="180">
        <v>34951</v>
      </c>
      <c r="N16" s="62">
        <v>1000</v>
      </c>
      <c r="O16" s="105">
        <f t="shared" ref="O16:O21" si="15">L16*M16*N16/100000</f>
        <v>1730.2143040000003</v>
      </c>
      <c r="P16" s="22"/>
      <c r="Q16" s="23"/>
      <c r="R16" s="118"/>
      <c r="S16" s="117"/>
      <c r="T16" s="117"/>
      <c r="U16" s="117"/>
      <c r="V16" s="117"/>
    </row>
    <row r="17" spans="1:22" ht="21" customHeight="1" thickBot="1" x14ac:dyDescent="0.3">
      <c r="A17" s="219" t="s">
        <v>190</v>
      </c>
      <c r="B17" s="149" t="s">
        <v>153</v>
      </c>
      <c r="C17" s="121">
        <v>700</v>
      </c>
      <c r="D17" s="166">
        <v>11.41</v>
      </c>
      <c r="E17" s="166">
        <v>11.5</v>
      </c>
      <c r="F17" s="91">
        <f t="shared" si="12"/>
        <v>11.44</v>
      </c>
      <c r="G17" s="101">
        <f t="shared" si="13"/>
        <v>20.820800000000006</v>
      </c>
      <c r="H17" s="91">
        <f t="shared" ref="H17:H21" si="16">G17*1000/C17</f>
        <v>29.74400000000001</v>
      </c>
      <c r="I17" s="101">
        <f t="shared" si="14"/>
        <v>499.69920000000013</v>
      </c>
      <c r="J17" s="77">
        <f t="shared" si="10"/>
        <v>20.820800000000006</v>
      </c>
      <c r="K17" s="163">
        <f t="shared" ref="K17:K21" si="17">J17*1000/C17</f>
        <v>29.74400000000001</v>
      </c>
      <c r="L17" s="103">
        <f t="shared" si="11"/>
        <v>499.69920000000013</v>
      </c>
      <c r="M17" s="180">
        <v>40807</v>
      </c>
      <c r="N17" s="62">
        <v>1000</v>
      </c>
      <c r="O17" s="105">
        <f t="shared" si="15"/>
        <v>203912.25254400005</v>
      </c>
      <c r="P17" s="22"/>
      <c r="Q17" s="23"/>
      <c r="R17" s="118"/>
      <c r="S17" s="117"/>
      <c r="T17" s="117"/>
      <c r="U17" s="117"/>
      <c r="V17" s="117"/>
    </row>
    <row r="18" spans="1:22" ht="21" customHeight="1" x14ac:dyDescent="0.25">
      <c r="A18" s="219" t="s">
        <v>191</v>
      </c>
      <c r="B18" s="119" t="s">
        <v>154</v>
      </c>
      <c r="C18" s="125">
        <v>750</v>
      </c>
      <c r="D18" s="166">
        <v>3.69</v>
      </c>
      <c r="E18" s="166">
        <v>3.71</v>
      </c>
      <c r="F18" s="91">
        <f t="shared" si="12"/>
        <v>3.6966666666666663</v>
      </c>
      <c r="G18" s="101">
        <f t="shared" si="13"/>
        <v>6.7279333333333335</v>
      </c>
      <c r="H18" s="91">
        <f t="shared" si="16"/>
        <v>8.9705777777777786</v>
      </c>
      <c r="I18" s="101">
        <f t="shared" si="14"/>
        <v>161.47040000000001</v>
      </c>
      <c r="J18" s="77">
        <f t="shared" si="10"/>
        <v>6.7279333333333335</v>
      </c>
      <c r="K18" s="163">
        <f t="shared" si="17"/>
        <v>8.9705777777777786</v>
      </c>
      <c r="L18" s="103">
        <f t="shared" si="11"/>
        <v>161.47040000000001</v>
      </c>
      <c r="M18" s="180">
        <v>40807</v>
      </c>
      <c r="N18" s="62">
        <v>1000</v>
      </c>
      <c r="O18" s="105">
        <f t="shared" si="15"/>
        <v>65891.226127999995</v>
      </c>
      <c r="P18" s="421" t="s">
        <v>77</v>
      </c>
      <c r="Q18" s="422"/>
      <c r="R18" s="458" t="s">
        <v>78</v>
      </c>
      <c r="S18" s="422"/>
      <c r="T18" s="117" t="s">
        <v>79</v>
      </c>
      <c r="U18" s="117">
        <v>100</v>
      </c>
      <c r="V18" s="117">
        <v>100</v>
      </c>
    </row>
    <row r="19" spans="1:22" ht="18.600000000000001" customHeight="1" x14ac:dyDescent="0.25">
      <c r="A19" s="219" t="s">
        <v>192</v>
      </c>
      <c r="B19" s="119" t="s">
        <v>156</v>
      </c>
      <c r="C19" s="125">
        <v>810</v>
      </c>
      <c r="D19" s="166">
        <v>35.1</v>
      </c>
      <c r="E19" s="166">
        <v>35</v>
      </c>
      <c r="F19" s="91">
        <f t="shared" si="12"/>
        <v>35.06666666666667</v>
      </c>
      <c r="G19" s="101">
        <f t="shared" si="13"/>
        <v>63.821333333333349</v>
      </c>
      <c r="H19" s="91">
        <f t="shared" si="16"/>
        <v>78.791769547325117</v>
      </c>
      <c r="I19" s="101">
        <f t="shared" si="14"/>
        <v>1531.7120000000004</v>
      </c>
      <c r="J19" s="77">
        <f t="shared" si="10"/>
        <v>63.821333333333349</v>
      </c>
      <c r="K19" s="163">
        <f t="shared" si="17"/>
        <v>78.791769547325117</v>
      </c>
      <c r="L19" s="103">
        <f t="shared" si="11"/>
        <v>1531.7120000000004</v>
      </c>
      <c r="M19" s="180">
        <v>41587</v>
      </c>
      <c r="N19" s="62">
        <v>1000</v>
      </c>
      <c r="O19" s="105">
        <f t="shared" si="15"/>
        <v>636993.06944000022</v>
      </c>
      <c r="P19" s="427"/>
      <c r="Q19" s="428"/>
      <c r="R19" s="428"/>
      <c r="S19" s="428"/>
      <c r="T19" s="428"/>
      <c r="U19" s="428"/>
      <c r="V19" s="428"/>
    </row>
    <row r="20" spans="1:22" ht="19.899999999999999" customHeight="1" x14ac:dyDescent="0.25">
      <c r="A20" s="219" t="s">
        <v>193</v>
      </c>
      <c r="B20" s="119" t="s">
        <v>74</v>
      </c>
      <c r="C20" s="125">
        <v>840</v>
      </c>
      <c r="D20" s="166">
        <v>50.69</v>
      </c>
      <c r="E20" s="166">
        <v>50.65</v>
      </c>
      <c r="F20" s="91">
        <f t="shared" si="12"/>
        <v>50.676666666666662</v>
      </c>
      <c r="G20" s="101">
        <f t="shared" si="13"/>
        <v>92.231533333333346</v>
      </c>
      <c r="H20" s="91">
        <f t="shared" si="16"/>
        <v>109.79944444444445</v>
      </c>
      <c r="I20" s="101">
        <f t="shared" si="14"/>
        <v>2213.5568000000003</v>
      </c>
      <c r="J20" s="77">
        <f t="shared" si="10"/>
        <v>92.231533333333346</v>
      </c>
      <c r="K20" s="163">
        <f t="shared" si="17"/>
        <v>109.79944444444445</v>
      </c>
      <c r="L20" s="103">
        <f t="shared" si="11"/>
        <v>2213.5568000000003</v>
      </c>
      <c r="M20" s="180">
        <v>41587</v>
      </c>
      <c r="N20" s="62">
        <v>1000</v>
      </c>
      <c r="O20" s="105">
        <f t="shared" si="15"/>
        <v>920551.86641600006</v>
      </c>
      <c r="P20" s="119"/>
      <c r="Q20" s="120"/>
      <c r="R20" s="120"/>
      <c r="S20" s="120"/>
      <c r="T20" s="120"/>
      <c r="U20" s="120"/>
      <c r="V20" s="120"/>
    </row>
    <row r="21" spans="1:22" ht="18.600000000000001" customHeight="1" thickBot="1" x14ac:dyDescent="0.3">
      <c r="A21" s="219" t="s">
        <v>194</v>
      </c>
      <c r="B21" s="150" t="s">
        <v>155</v>
      </c>
      <c r="C21" s="72">
        <v>840</v>
      </c>
      <c r="D21" s="167">
        <v>1</v>
      </c>
      <c r="E21" s="167">
        <v>1</v>
      </c>
      <c r="F21" s="107">
        <f t="shared" si="12"/>
        <v>1</v>
      </c>
      <c r="G21" s="107">
        <f t="shared" si="13"/>
        <v>1.8200000000000003</v>
      </c>
      <c r="H21" s="107">
        <f t="shared" si="16"/>
        <v>2.166666666666667</v>
      </c>
      <c r="I21" s="107">
        <f t="shared" si="14"/>
        <v>43.680000000000007</v>
      </c>
      <c r="J21" s="108">
        <f t="shared" si="10"/>
        <v>1.8200000000000003</v>
      </c>
      <c r="K21" s="184">
        <f t="shared" si="17"/>
        <v>2.166666666666667</v>
      </c>
      <c r="L21" s="109">
        <f t="shared" si="11"/>
        <v>43.680000000000007</v>
      </c>
      <c r="M21" s="181">
        <v>29555</v>
      </c>
      <c r="N21" s="79">
        <v>1000</v>
      </c>
      <c r="O21" s="111">
        <f t="shared" si="15"/>
        <v>12909.624000000002</v>
      </c>
      <c r="P21" s="119"/>
      <c r="Q21" s="120"/>
      <c r="R21" s="120"/>
      <c r="S21" s="120"/>
      <c r="T21" s="120"/>
      <c r="U21" s="120"/>
      <c r="V21" s="120"/>
    </row>
    <row r="22" spans="1:22" ht="24.6" customHeight="1" x14ac:dyDescent="0.25">
      <c r="A22" s="56"/>
      <c r="B22" s="218" t="s">
        <v>195</v>
      </c>
      <c r="C22" s="215" t="s">
        <v>169</v>
      </c>
      <c r="D22" s="116">
        <f t="shared" ref="D22:L22" si="18">SUM(D14:D21)</f>
        <v>102.6</v>
      </c>
      <c r="E22" s="116">
        <f t="shared" si="18"/>
        <v>102.47999999999999</v>
      </c>
      <c r="F22" s="116">
        <f t="shared" si="18"/>
        <v>102.56</v>
      </c>
      <c r="G22" s="116">
        <f t="shared" si="18"/>
        <v>186.65920000000003</v>
      </c>
      <c r="H22" s="116">
        <f t="shared" si="18"/>
        <v>229.84748873924431</v>
      </c>
      <c r="I22" s="116">
        <f t="shared" si="18"/>
        <v>4479.8208000000013</v>
      </c>
      <c r="J22" s="116">
        <f t="shared" si="18"/>
        <v>186.65920000000003</v>
      </c>
      <c r="K22" s="116">
        <f t="shared" si="18"/>
        <v>229.84748873924431</v>
      </c>
      <c r="L22" s="116">
        <f t="shared" si="18"/>
        <v>4479.8208000000013</v>
      </c>
      <c r="M22" s="116"/>
      <c r="N22" s="116"/>
      <c r="O22" s="183">
        <f t="shared" ref="O22" si="19">SUM(O14:O21)</f>
        <v>1842569.4589120003</v>
      </c>
      <c r="P22" s="120"/>
      <c r="Q22" s="120"/>
      <c r="R22" s="120"/>
      <c r="S22" s="120"/>
      <c r="T22" s="120"/>
      <c r="U22" s="120"/>
      <c r="V22" s="120"/>
    </row>
    <row r="23" spans="1:22" ht="19.899999999999999" customHeight="1" thickBot="1" x14ac:dyDescent="0.3">
      <c r="A23" s="223" t="s">
        <v>201</v>
      </c>
      <c r="B23" s="224" t="s">
        <v>180</v>
      </c>
      <c r="C23" s="225" t="s">
        <v>172</v>
      </c>
      <c r="D23" s="226">
        <f t="shared" ref="D23:I23" si="20">D11-D22</f>
        <v>0.30000000000001137</v>
      </c>
      <c r="E23" s="227">
        <f t="shared" si="20"/>
        <v>0.32000000000000739</v>
      </c>
      <c r="F23" s="226">
        <f t="shared" si="20"/>
        <v>0.30666666666667197</v>
      </c>
      <c r="G23" s="228">
        <f t="shared" si="20"/>
        <v>0.55813333333333048</v>
      </c>
      <c r="H23" s="228">
        <f t="shared" si="20"/>
        <v>-229.84748873924431</v>
      </c>
      <c r="I23" s="229">
        <f t="shared" si="20"/>
        <v>13.395199999999932</v>
      </c>
      <c r="J23" s="229">
        <f t="shared" ref="J23:L23" si="21">J11-J22</f>
        <v>-186.65920000000003</v>
      </c>
      <c r="K23" s="229">
        <f t="shared" si="21"/>
        <v>-229.84748873924431</v>
      </c>
      <c r="L23" s="229">
        <f t="shared" si="21"/>
        <v>13.395199999999932</v>
      </c>
      <c r="M23" s="230"/>
      <c r="N23" s="230"/>
      <c r="O23" s="231"/>
      <c r="P23" s="120"/>
      <c r="Q23" s="120"/>
      <c r="R23" s="120"/>
      <c r="S23" s="120"/>
      <c r="T23" s="120"/>
      <c r="U23" s="120"/>
      <c r="V23" s="120"/>
    </row>
    <row r="24" spans="1:22" ht="23.45" customHeight="1" x14ac:dyDescent="0.25">
      <c r="A24" s="222"/>
      <c r="B24" s="232" t="s">
        <v>47</v>
      </c>
      <c r="C24" s="217" t="s">
        <v>173</v>
      </c>
      <c r="D24" s="233">
        <f>D11-D22-D23</f>
        <v>0</v>
      </c>
      <c r="E24" s="233">
        <f t="shared" ref="E24:F24" si="22">E11-E22-E23</f>
        <v>0</v>
      </c>
      <c r="F24" s="233">
        <f t="shared" si="22"/>
        <v>0</v>
      </c>
      <c r="G24" s="233">
        <f t="shared" ref="G24:L24" si="23">G11-G22-G23</f>
        <v>0</v>
      </c>
      <c r="H24" s="233">
        <f t="shared" si="23"/>
        <v>0</v>
      </c>
      <c r="I24" s="233">
        <f t="shared" si="23"/>
        <v>0</v>
      </c>
      <c r="J24" s="233">
        <f t="shared" si="23"/>
        <v>0</v>
      </c>
      <c r="K24" s="233">
        <f t="shared" si="23"/>
        <v>0</v>
      </c>
      <c r="L24" s="233">
        <f t="shared" si="23"/>
        <v>0</v>
      </c>
    </row>
    <row r="25" spans="1:22" ht="23.45" customHeight="1" x14ac:dyDescent="0.25">
      <c r="A25" s="222"/>
      <c r="B25" s="216"/>
      <c r="C25" s="234"/>
      <c r="D25" s="235"/>
      <c r="E25" s="235"/>
      <c r="F25" s="235"/>
      <c r="G25" s="236"/>
      <c r="H25" s="235"/>
      <c r="I25" s="235"/>
      <c r="J25" s="235"/>
      <c r="K25" s="235"/>
      <c r="L25" s="235"/>
      <c r="M25" s="56"/>
      <c r="N25" s="56"/>
      <c r="O25" s="56"/>
    </row>
    <row r="26" spans="1:22" ht="25.9" customHeight="1" x14ac:dyDescent="0.3">
      <c r="A26" s="2"/>
      <c r="B26" s="459" t="s">
        <v>196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60"/>
    </row>
    <row r="27" spans="1:22" ht="21" x14ac:dyDescent="0.35">
      <c r="A27" s="2"/>
      <c r="B27" s="431" t="s">
        <v>167</v>
      </c>
      <c r="C27" s="431"/>
      <c r="D27" s="432"/>
      <c r="E27" s="141" t="s">
        <v>197</v>
      </c>
      <c r="F27" s="461">
        <v>2606766.11</v>
      </c>
      <c r="G27" s="461"/>
      <c r="H27" s="461"/>
      <c r="I27" s="461"/>
      <c r="J27" s="461"/>
      <c r="K27" s="461"/>
      <c r="L27" s="461"/>
      <c r="M27" s="461"/>
      <c r="N27" s="461"/>
      <c r="O27" s="462"/>
    </row>
    <row r="28" spans="1:22" ht="21" x14ac:dyDescent="0.35">
      <c r="A28" s="2"/>
      <c r="B28" s="434" t="s">
        <v>170</v>
      </c>
      <c r="C28" s="434"/>
      <c r="D28" s="435"/>
      <c r="E28" s="141" t="s">
        <v>198</v>
      </c>
      <c r="F28" s="461">
        <f>O9</f>
        <v>1290962.4000000001</v>
      </c>
      <c r="G28" s="461"/>
      <c r="H28" s="461"/>
      <c r="I28" s="461"/>
      <c r="J28" s="461"/>
      <c r="K28" s="461"/>
      <c r="L28" s="461"/>
      <c r="M28" s="461"/>
      <c r="N28" s="461"/>
      <c r="O28" s="462"/>
    </row>
    <row r="29" spans="1:22" ht="21" x14ac:dyDescent="0.35">
      <c r="A29" s="2"/>
      <c r="B29" s="434" t="s">
        <v>171</v>
      </c>
      <c r="C29" s="434"/>
      <c r="D29" s="435"/>
      <c r="E29" s="142" t="s">
        <v>199</v>
      </c>
      <c r="F29" s="439"/>
      <c r="G29" s="439"/>
      <c r="H29" s="439"/>
      <c r="I29" s="439"/>
      <c r="J29" s="439"/>
      <c r="K29" s="439"/>
      <c r="L29" s="439"/>
      <c r="M29" s="439"/>
      <c r="N29" s="439"/>
      <c r="O29" s="440"/>
    </row>
    <row r="30" spans="1:22" ht="29.25" thickBot="1" x14ac:dyDescent="0.5">
      <c r="A30" s="2"/>
      <c r="B30" s="437" t="s">
        <v>174</v>
      </c>
      <c r="C30" s="437"/>
      <c r="D30" s="438"/>
      <c r="E30" s="177" t="s">
        <v>200</v>
      </c>
      <c r="F30" s="441"/>
      <c r="G30" s="441"/>
      <c r="H30" s="441"/>
      <c r="I30" s="441"/>
      <c r="J30" s="441"/>
      <c r="K30" s="441"/>
      <c r="L30" s="441"/>
      <c r="M30" s="441"/>
      <c r="N30" s="441"/>
      <c r="O30" s="442"/>
    </row>
  </sheetData>
  <mergeCells count="34">
    <mergeCell ref="P8:Q8"/>
    <mergeCell ref="R8:S8"/>
    <mergeCell ref="P3:Q3"/>
    <mergeCell ref="R3:T3"/>
    <mergeCell ref="U3:V3"/>
    <mergeCell ref="P4:Q4"/>
    <mergeCell ref="R4:S4"/>
    <mergeCell ref="P5:Q5"/>
    <mergeCell ref="R5:S5"/>
    <mergeCell ref="P6:Q6"/>
    <mergeCell ref="R6:S6"/>
    <mergeCell ref="P7:Q7"/>
    <mergeCell ref="R7:S7"/>
    <mergeCell ref="P18:Q18"/>
    <mergeCell ref="R18:S18"/>
    <mergeCell ref="P19:V19"/>
    <mergeCell ref="P9:Q9"/>
    <mergeCell ref="R9:S9"/>
    <mergeCell ref="P10:Q10"/>
    <mergeCell ref="R10:S10"/>
    <mergeCell ref="P12:Q12"/>
    <mergeCell ref="R12:S12"/>
    <mergeCell ref="B30:D30"/>
    <mergeCell ref="F30:O30"/>
    <mergeCell ref="G3:I3"/>
    <mergeCell ref="B26:O26"/>
    <mergeCell ref="B27:D27"/>
    <mergeCell ref="F27:O27"/>
    <mergeCell ref="B28:D28"/>
    <mergeCell ref="F28:O28"/>
    <mergeCell ref="B29:D29"/>
    <mergeCell ref="F29:O29"/>
    <mergeCell ref="B12:B13"/>
    <mergeCell ref="I12:J12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30"/>
  <sheetViews>
    <sheetView workbookViewId="0">
      <selection sqref="A1:XFD1048576"/>
    </sheetView>
  </sheetViews>
  <sheetFormatPr defaultRowHeight="15" x14ac:dyDescent="0.25"/>
  <cols>
    <col min="1" max="1" width="3.28515625" customWidth="1"/>
    <col min="2" max="2" width="29.85546875" customWidth="1"/>
    <col min="3" max="3" width="9.85546875" customWidth="1"/>
    <col min="4" max="4" width="10.85546875" customWidth="1"/>
    <col min="5" max="5" width="10.140625" customWidth="1"/>
    <col min="6" max="6" width="11.7109375" customWidth="1"/>
    <col min="7" max="7" width="8.140625" customWidth="1"/>
    <col min="8" max="8" width="9.140625" customWidth="1"/>
    <col min="9" max="9" width="9.5703125" customWidth="1"/>
    <col min="10" max="10" width="11.7109375" customWidth="1"/>
    <col min="11" max="11" width="12" customWidth="1"/>
    <col min="12" max="12" width="16.28515625" customWidth="1"/>
    <col min="13" max="13" width="18.5703125" customWidth="1"/>
    <col min="14" max="14" width="10.140625" hidden="1" customWidth="1"/>
    <col min="15" max="15" width="7.28515625" hidden="1" customWidth="1"/>
    <col min="16" max="20" width="0" hidden="1" customWidth="1"/>
  </cols>
  <sheetData>
    <row r="2" spans="1:21" ht="15.75" thickBot="1" x14ac:dyDescent="0.3"/>
    <row r="3" spans="1:21" ht="45" x14ac:dyDescent="0.25">
      <c r="B3" s="87" t="s">
        <v>0</v>
      </c>
      <c r="C3" s="178" t="s">
        <v>177</v>
      </c>
      <c r="D3" s="64" t="s">
        <v>60</v>
      </c>
      <c r="E3" s="64" t="s">
        <v>61</v>
      </c>
      <c r="F3" s="99" t="s">
        <v>160</v>
      </c>
      <c r="G3" s="411" t="s">
        <v>158</v>
      </c>
      <c r="H3" s="412"/>
      <c r="I3" s="412"/>
      <c r="J3" s="64" t="s">
        <v>166</v>
      </c>
      <c r="K3" s="64" t="s">
        <v>152</v>
      </c>
      <c r="L3" s="64" t="s">
        <v>148</v>
      </c>
      <c r="M3" s="66" t="s">
        <v>150</v>
      </c>
      <c r="N3" s="446" t="s">
        <v>62</v>
      </c>
      <c r="O3" s="443"/>
      <c r="P3" s="443" t="s">
        <v>63</v>
      </c>
      <c r="Q3" s="443"/>
      <c r="R3" s="443"/>
      <c r="S3" s="444" t="s">
        <v>64</v>
      </c>
      <c r="T3" s="444"/>
    </row>
    <row r="4" spans="1:21" ht="30" x14ac:dyDescent="0.25">
      <c r="B4" s="67"/>
      <c r="C4" s="125" t="s">
        <v>111</v>
      </c>
      <c r="D4" s="121" t="s">
        <v>140</v>
      </c>
      <c r="E4" s="121" t="s">
        <v>140</v>
      </c>
      <c r="F4" s="113" t="s">
        <v>159</v>
      </c>
      <c r="G4" s="113" t="s">
        <v>109</v>
      </c>
      <c r="H4" s="113" t="s">
        <v>178</v>
      </c>
      <c r="I4" s="93" t="s">
        <v>139</v>
      </c>
      <c r="J4" s="121" t="s">
        <v>139</v>
      </c>
      <c r="K4" s="121" t="s">
        <v>146</v>
      </c>
      <c r="L4" s="121" t="s">
        <v>149</v>
      </c>
      <c r="M4" s="68" t="s">
        <v>151</v>
      </c>
      <c r="N4" s="445"/>
      <c r="O4" s="429"/>
      <c r="P4" s="429" t="s">
        <v>60</v>
      </c>
      <c r="Q4" s="429"/>
      <c r="R4" s="121" t="s">
        <v>61</v>
      </c>
      <c r="S4" s="121" t="s">
        <v>60</v>
      </c>
      <c r="T4" s="121" t="s">
        <v>61</v>
      </c>
    </row>
    <row r="5" spans="1:21" ht="15.75" x14ac:dyDescent="0.25">
      <c r="B5" s="69" t="s">
        <v>99</v>
      </c>
      <c r="C5" s="125">
        <v>880</v>
      </c>
      <c r="D5" s="121">
        <v>13.5</v>
      </c>
      <c r="E5" s="121">
        <v>13.5</v>
      </c>
      <c r="F5" s="121">
        <f>(D5*2/3)+(E5*1/3)</f>
        <v>13.5</v>
      </c>
      <c r="G5" s="143">
        <f>182*F5%</f>
        <v>24.57</v>
      </c>
      <c r="H5" s="143">
        <f>G5*1000/C5</f>
        <v>27.920454545454547</v>
      </c>
      <c r="I5" s="239">
        <f>G5*24</f>
        <v>589.68000000000006</v>
      </c>
      <c r="J5" s="237">
        <f>G5*24</f>
        <v>589.68000000000006</v>
      </c>
      <c r="K5" s="59">
        <v>29555</v>
      </c>
      <c r="L5" s="59">
        <v>1000</v>
      </c>
      <c r="M5" s="70">
        <f>J5*K5*L5/100000</f>
        <v>174279.92400000003</v>
      </c>
      <c r="N5" s="425" t="s">
        <v>65</v>
      </c>
      <c r="O5" s="426"/>
      <c r="P5" s="428"/>
      <c r="Q5" s="428"/>
      <c r="R5" s="120"/>
      <c r="S5" s="120"/>
      <c r="T5" s="120"/>
    </row>
    <row r="6" spans="1:21" ht="15.75" x14ac:dyDescent="0.25">
      <c r="B6" s="71" t="s">
        <v>100</v>
      </c>
      <c r="C6" s="153">
        <v>965</v>
      </c>
      <c r="D6" s="57">
        <v>10.6</v>
      </c>
      <c r="E6" s="57">
        <v>10.6</v>
      </c>
      <c r="F6" s="121">
        <f>(D6*2/3)+(E6*1/3)</f>
        <v>10.6</v>
      </c>
      <c r="G6" s="143">
        <f t="shared" ref="G6:G8" si="0">182*F6%</f>
        <v>19.291999999999998</v>
      </c>
      <c r="H6" s="143">
        <f t="shared" ref="H6:H8" si="1">G6*1000/C6</f>
        <v>19.991709844559583</v>
      </c>
      <c r="I6" s="239">
        <f t="shared" ref="I6:I8" si="2">G6*24</f>
        <v>463.00799999999992</v>
      </c>
      <c r="J6" s="237">
        <f>G6*24</f>
        <v>463.00799999999992</v>
      </c>
      <c r="K6" s="59">
        <v>29555</v>
      </c>
      <c r="L6" s="59">
        <v>1000</v>
      </c>
      <c r="M6" s="70">
        <f t="shared" ref="M6:M8" si="3">J6*K6*L6/100000</f>
        <v>136842.01439999999</v>
      </c>
      <c r="N6" s="425" t="s">
        <v>69</v>
      </c>
      <c r="O6" s="426"/>
      <c r="P6" s="428"/>
      <c r="Q6" s="428"/>
      <c r="R6" s="120"/>
      <c r="S6" s="120"/>
      <c r="T6" s="120"/>
    </row>
    <row r="7" spans="1:21" ht="15.75" x14ac:dyDescent="0.25">
      <c r="B7" s="69" t="s">
        <v>93</v>
      </c>
      <c r="C7" s="125">
        <v>920</v>
      </c>
      <c r="D7" s="121">
        <v>61.6</v>
      </c>
      <c r="E7" s="121">
        <v>61.6</v>
      </c>
      <c r="F7" s="121">
        <f>(D7*2/3)+(E7*1/3)</f>
        <v>61.600000000000009</v>
      </c>
      <c r="G7" s="143">
        <f t="shared" si="0"/>
        <v>112.11200000000002</v>
      </c>
      <c r="H7" s="143">
        <f t="shared" si="1"/>
        <v>121.86086956521743</v>
      </c>
      <c r="I7" s="239">
        <f t="shared" si="2"/>
        <v>2690.6880000000006</v>
      </c>
      <c r="J7" s="237">
        <f>G7*24</f>
        <v>2690.6880000000006</v>
      </c>
      <c r="K7" s="59">
        <v>29555</v>
      </c>
      <c r="L7" s="59">
        <v>1000</v>
      </c>
      <c r="M7" s="70">
        <f t="shared" si="3"/>
        <v>795232.83840000012</v>
      </c>
      <c r="N7" s="425" t="s">
        <v>70</v>
      </c>
      <c r="O7" s="426"/>
      <c r="P7" s="428"/>
      <c r="Q7" s="428"/>
      <c r="R7" s="120"/>
      <c r="S7" s="120"/>
      <c r="T7" s="120"/>
    </row>
    <row r="8" spans="1:21" ht="15.75" x14ac:dyDescent="0.25">
      <c r="B8" s="69" t="s">
        <v>138</v>
      </c>
      <c r="C8" s="125">
        <v>870</v>
      </c>
      <c r="D8" s="121">
        <v>14.3</v>
      </c>
      <c r="E8" s="121">
        <v>14.3</v>
      </c>
      <c r="F8" s="121">
        <f>(D8*2/3)+(E8*1/3)</f>
        <v>14.3</v>
      </c>
      <c r="G8" s="143">
        <f t="shared" si="0"/>
        <v>26.026000000000003</v>
      </c>
      <c r="H8" s="143">
        <f t="shared" si="1"/>
        <v>29.914942528735637</v>
      </c>
      <c r="I8" s="239">
        <f t="shared" si="2"/>
        <v>624.62400000000002</v>
      </c>
      <c r="J8" s="237">
        <f>G8*24</f>
        <v>624.62400000000002</v>
      </c>
      <c r="K8" s="59">
        <v>29555</v>
      </c>
      <c r="L8" s="59">
        <v>1000</v>
      </c>
      <c r="M8" s="70">
        <f t="shared" si="3"/>
        <v>184607.6232</v>
      </c>
      <c r="N8" s="427" t="s">
        <v>71</v>
      </c>
      <c r="O8" s="428"/>
      <c r="P8" s="428"/>
      <c r="Q8" s="428"/>
      <c r="R8" s="120"/>
      <c r="S8" s="120"/>
      <c r="T8" s="120"/>
    </row>
    <row r="9" spans="1:21" ht="18.75" thickBot="1" x14ac:dyDescent="0.3">
      <c r="B9" s="192" t="s">
        <v>76</v>
      </c>
      <c r="C9" s="193"/>
      <c r="D9" s="194">
        <f>SUM(D5:D8)</f>
        <v>100</v>
      </c>
      <c r="E9" s="194">
        <f t="shared" ref="E9:H9" si="4">SUM(E5:E8)</f>
        <v>100</v>
      </c>
      <c r="F9" s="194">
        <f t="shared" si="4"/>
        <v>100.00000000000001</v>
      </c>
      <c r="G9" s="95">
        <f t="shared" si="4"/>
        <v>182.00000000000003</v>
      </c>
      <c r="H9" s="154">
        <f t="shared" si="4"/>
        <v>199.68797648396719</v>
      </c>
      <c r="I9" s="240">
        <f>SUM(I5:I8)</f>
        <v>4368.0000000000009</v>
      </c>
      <c r="J9" s="238">
        <f t="shared" ref="J9" si="5">SUM(J5:J8)</f>
        <v>4368.0000000000009</v>
      </c>
      <c r="K9" s="194"/>
      <c r="L9" s="194"/>
      <c r="M9" s="204">
        <f t="shared" ref="M9" si="6">SUM(M5:M8)</f>
        <v>1290962.4000000001</v>
      </c>
      <c r="N9" s="427" t="s">
        <v>72</v>
      </c>
      <c r="O9" s="428"/>
      <c r="P9" s="428"/>
      <c r="Q9" s="428"/>
      <c r="R9" s="120"/>
      <c r="S9" s="120"/>
      <c r="T9" s="120"/>
      <c r="U9">
        <f>17428</f>
        <v>17428</v>
      </c>
    </row>
    <row r="10" spans="1:21" ht="19.5" thickTop="1" thickBot="1" x14ac:dyDescent="0.3">
      <c r="B10" s="209" t="s">
        <v>179</v>
      </c>
      <c r="C10" s="210"/>
      <c r="D10" s="211">
        <v>2.7</v>
      </c>
      <c r="E10" s="211">
        <v>2.6</v>
      </c>
      <c r="F10" s="212">
        <f>(D10*2/3)+(E10*1/3)</f>
        <v>2.666666666666667</v>
      </c>
      <c r="G10" s="202">
        <f>G9*F10%</f>
        <v>4.8533333333333344</v>
      </c>
      <c r="H10" s="203">
        <f>G10*1000*22.4/2.01</f>
        <v>54086.898839137655</v>
      </c>
      <c r="I10" s="213">
        <f>G10*24</f>
        <v>116.48000000000002</v>
      </c>
      <c r="J10" s="207">
        <f>J9*F10%</f>
        <v>116.48000000000003</v>
      </c>
      <c r="K10" s="120"/>
      <c r="L10" s="120"/>
      <c r="M10" s="208"/>
      <c r="N10" s="423" t="s">
        <v>73</v>
      </c>
      <c r="O10" s="424"/>
      <c r="P10" s="453"/>
      <c r="Q10" s="424"/>
      <c r="R10" s="21"/>
      <c r="S10" s="21"/>
      <c r="T10" s="21"/>
    </row>
    <row r="11" spans="1:21" ht="19.5" thickTop="1" thickBot="1" x14ac:dyDescent="0.3">
      <c r="B11" s="196" t="s">
        <v>175</v>
      </c>
      <c r="C11" s="79" t="s">
        <v>168</v>
      </c>
      <c r="D11" s="197">
        <f>D9+D10</f>
        <v>102.7</v>
      </c>
      <c r="E11" s="197">
        <f t="shared" ref="E11:J11" si="7">E9+E10</f>
        <v>102.6</v>
      </c>
      <c r="F11" s="198">
        <f t="shared" si="7"/>
        <v>102.66666666666669</v>
      </c>
      <c r="G11" s="198">
        <f t="shared" si="7"/>
        <v>186.85333333333335</v>
      </c>
      <c r="H11" s="198"/>
      <c r="I11" s="214">
        <f>I9+I10</f>
        <v>4484.4800000000014</v>
      </c>
      <c r="J11" s="200">
        <f t="shared" si="7"/>
        <v>4484.4800000000014</v>
      </c>
      <c r="K11" s="205"/>
      <c r="L11" s="205"/>
      <c r="M11" s="206"/>
      <c r="N11" s="122"/>
      <c r="O11" s="123"/>
      <c r="P11" s="124"/>
      <c r="Q11" s="123"/>
      <c r="R11" s="21"/>
      <c r="S11" s="21"/>
      <c r="T11" s="21"/>
    </row>
    <row r="12" spans="1:21" ht="45.75" thickBot="1" x14ac:dyDescent="0.3">
      <c r="B12" s="417" t="s">
        <v>21</v>
      </c>
      <c r="C12" s="130" t="s">
        <v>177</v>
      </c>
      <c r="D12" s="130" t="s">
        <v>60</v>
      </c>
      <c r="E12" s="130" t="s">
        <v>61</v>
      </c>
      <c r="F12" s="131" t="s">
        <v>161</v>
      </c>
      <c r="G12" s="411" t="s">
        <v>162</v>
      </c>
      <c r="H12" s="412"/>
      <c r="I12" s="412"/>
      <c r="J12" s="130" t="s">
        <v>157</v>
      </c>
      <c r="K12" s="130" t="s">
        <v>152</v>
      </c>
      <c r="L12" s="130" t="s">
        <v>148</v>
      </c>
      <c r="M12" s="132" t="s">
        <v>163</v>
      </c>
      <c r="N12" s="454" t="s">
        <v>75</v>
      </c>
      <c r="O12" s="455"/>
      <c r="P12" s="456">
        <v>1</v>
      </c>
      <c r="Q12" s="457"/>
      <c r="R12" s="117">
        <v>1</v>
      </c>
      <c r="S12" s="117">
        <v>1</v>
      </c>
      <c r="T12" s="117">
        <v>1</v>
      </c>
    </row>
    <row r="13" spans="1:21" ht="30.75" thickBot="1" x14ac:dyDescent="0.3">
      <c r="B13" s="418"/>
      <c r="C13" s="110" t="s">
        <v>111</v>
      </c>
      <c r="D13" s="72" t="s">
        <v>140</v>
      </c>
      <c r="E13" s="72" t="s">
        <v>140</v>
      </c>
      <c r="F13" s="114" t="s">
        <v>159</v>
      </c>
      <c r="G13" s="220" t="s">
        <v>109</v>
      </c>
      <c r="H13" s="220" t="s">
        <v>178</v>
      </c>
      <c r="I13" s="221" t="s">
        <v>139</v>
      </c>
      <c r="J13" s="72" t="s">
        <v>139</v>
      </c>
      <c r="K13" s="72" t="s">
        <v>146</v>
      </c>
      <c r="L13" s="72" t="s">
        <v>149</v>
      </c>
      <c r="M13" s="73" t="s">
        <v>151</v>
      </c>
      <c r="N13" s="22"/>
      <c r="O13" s="23"/>
      <c r="P13" s="118"/>
      <c r="Q13" s="117"/>
      <c r="R13" s="117"/>
      <c r="S13" s="117"/>
      <c r="T13" s="117"/>
    </row>
    <row r="14" spans="1:21" ht="19.899999999999999" customHeight="1" thickBot="1" x14ac:dyDescent="0.3">
      <c r="A14" s="219" t="s">
        <v>32</v>
      </c>
      <c r="B14" s="148" t="s">
        <v>65</v>
      </c>
      <c r="C14" s="190"/>
      <c r="D14" s="164">
        <v>0.5</v>
      </c>
      <c r="E14" s="164">
        <v>0.4</v>
      </c>
      <c r="F14" s="101">
        <f>(D14*2/3)+(E14*1/3)</f>
        <v>0.46666666666666667</v>
      </c>
      <c r="G14" s="101">
        <f>$I$9*F14%/24</f>
        <v>0.84933333333333361</v>
      </c>
      <c r="H14" s="101"/>
      <c r="I14" s="101">
        <f>G14*24</f>
        <v>20.384000000000007</v>
      </c>
      <c r="J14" s="96">
        <f t="shared" ref="J14:J21" si="8">I14</f>
        <v>20.384000000000007</v>
      </c>
      <c r="K14" s="80">
        <v>0</v>
      </c>
      <c r="L14" s="62">
        <v>1000</v>
      </c>
      <c r="M14" s="104">
        <f>J14*K14*L14</f>
        <v>0</v>
      </c>
      <c r="N14" s="22"/>
      <c r="O14" s="23"/>
      <c r="P14" s="118"/>
      <c r="Q14" s="117"/>
      <c r="R14" s="117"/>
      <c r="S14" s="117"/>
      <c r="T14" s="117"/>
    </row>
    <row r="15" spans="1:21" ht="19.899999999999999" customHeight="1" thickBot="1" x14ac:dyDescent="0.3">
      <c r="A15" s="219" t="s">
        <v>188</v>
      </c>
      <c r="B15" s="149" t="s">
        <v>69</v>
      </c>
      <c r="C15" s="120"/>
      <c r="D15" s="165">
        <v>0.1</v>
      </c>
      <c r="E15" s="165">
        <v>0.1</v>
      </c>
      <c r="F15" s="91">
        <f t="shared" ref="F15:F21" si="9">(D15*2/3)+(E15*1/3)</f>
        <v>0.1</v>
      </c>
      <c r="G15" s="101">
        <f t="shared" ref="G15:G21" si="10">$I$9*F15%/24</f>
        <v>0.18200000000000005</v>
      </c>
      <c r="H15" s="91"/>
      <c r="I15" s="101">
        <f t="shared" ref="I15:I21" si="11">G15*24</f>
        <v>4.3680000000000012</v>
      </c>
      <c r="J15" s="103">
        <f t="shared" si="8"/>
        <v>4.3680000000000012</v>
      </c>
      <c r="K15" s="180">
        <v>13306</v>
      </c>
      <c r="L15" s="62">
        <v>1000</v>
      </c>
      <c r="M15" s="105">
        <f>J15*K15*L15/100000</f>
        <v>581.20608000000016</v>
      </c>
      <c r="N15" s="22"/>
      <c r="O15" s="23"/>
      <c r="P15" s="118"/>
      <c r="Q15" s="117"/>
      <c r="R15" s="117"/>
      <c r="S15" s="117"/>
      <c r="T15" s="117"/>
    </row>
    <row r="16" spans="1:21" ht="19.899999999999999" customHeight="1" thickBot="1" x14ac:dyDescent="0.3">
      <c r="A16" s="219" t="s">
        <v>189</v>
      </c>
      <c r="B16" s="149" t="s">
        <v>70</v>
      </c>
      <c r="C16" s="121">
        <v>550</v>
      </c>
      <c r="D16" s="166">
        <v>0.11</v>
      </c>
      <c r="E16" s="166">
        <v>0.12</v>
      </c>
      <c r="F16" s="91">
        <f t="shared" si="9"/>
        <v>0.11333333333333334</v>
      </c>
      <c r="G16" s="101">
        <f t="shared" si="10"/>
        <v>0.20626666666666671</v>
      </c>
      <c r="H16" s="91">
        <f>G16*1000/C16</f>
        <v>0.3750303030303031</v>
      </c>
      <c r="I16" s="101">
        <f t="shared" si="11"/>
        <v>4.950400000000001</v>
      </c>
      <c r="J16" s="103">
        <f t="shared" si="8"/>
        <v>4.950400000000001</v>
      </c>
      <c r="K16" s="180">
        <v>34951</v>
      </c>
      <c r="L16" s="62">
        <v>1000</v>
      </c>
      <c r="M16" s="105">
        <f t="shared" ref="M16:M21" si="12">J16*K16*L16/100000</f>
        <v>1730.2143040000003</v>
      </c>
      <c r="N16" s="22"/>
      <c r="O16" s="23"/>
      <c r="P16" s="118"/>
      <c r="Q16" s="117"/>
      <c r="R16" s="117"/>
      <c r="S16" s="117"/>
      <c r="T16" s="117"/>
    </row>
    <row r="17" spans="1:20" ht="19.899999999999999" customHeight="1" thickBot="1" x14ac:dyDescent="0.3">
      <c r="A17" s="219" t="s">
        <v>190</v>
      </c>
      <c r="B17" s="149" t="s">
        <v>153</v>
      </c>
      <c r="C17" s="121">
        <v>700</v>
      </c>
      <c r="D17" s="166">
        <v>11.41</v>
      </c>
      <c r="E17" s="166">
        <v>11.5</v>
      </c>
      <c r="F17" s="91">
        <f t="shared" si="9"/>
        <v>11.44</v>
      </c>
      <c r="G17" s="101">
        <f t="shared" si="10"/>
        <v>20.820800000000006</v>
      </c>
      <c r="H17" s="91">
        <f t="shared" ref="H17:H21" si="13">G17*1000/C17</f>
        <v>29.74400000000001</v>
      </c>
      <c r="I17" s="101">
        <f t="shared" si="11"/>
        <v>499.69920000000013</v>
      </c>
      <c r="J17" s="103">
        <f t="shared" si="8"/>
        <v>499.69920000000013</v>
      </c>
      <c r="K17" s="180">
        <v>40807</v>
      </c>
      <c r="L17" s="62">
        <v>1000</v>
      </c>
      <c r="M17" s="105">
        <f t="shared" si="12"/>
        <v>203912.25254400005</v>
      </c>
      <c r="N17" s="22"/>
      <c r="O17" s="23"/>
      <c r="P17" s="118"/>
      <c r="Q17" s="117"/>
      <c r="R17" s="117"/>
      <c r="S17" s="117"/>
      <c r="T17" s="117"/>
    </row>
    <row r="18" spans="1:20" ht="19.899999999999999" customHeight="1" x14ac:dyDescent="0.25">
      <c r="A18" s="219" t="s">
        <v>191</v>
      </c>
      <c r="B18" s="119" t="s">
        <v>154</v>
      </c>
      <c r="C18" s="125">
        <v>750</v>
      </c>
      <c r="D18" s="166">
        <v>3.69</v>
      </c>
      <c r="E18" s="166">
        <v>3.71</v>
      </c>
      <c r="F18" s="91">
        <f t="shared" si="9"/>
        <v>3.6966666666666663</v>
      </c>
      <c r="G18" s="101">
        <f t="shared" si="10"/>
        <v>6.7279333333333335</v>
      </c>
      <c r="H18" s="91">
        <f t="shared" si="13"/>
        <v>8.9705777777777786</v>
      </c>
      <c r="I18" s="101">
        <f t="shared" si="11"/>
        <v>161.47040000000001</v>
      </c>
      <c r="J18" s="103">
        <f t="shared" si="8"/>
        <v>161.47040000000001</v>
      </c>
      <c r="K18" s="180">
        <v>40807</v>
      </c>
      <c r="L18" s="62">
        <v>1000</v>
      </c>
      <c r="M18" s="105">
        <f t="shared" si="12"/>
        <v>65891.226127999995</v>
      </c>
      <c r="N18" s="421" t="s">
        <v>77</v>
      </c>
      <c r="O18" s="422"/>
      <c r="P18" s="458" t="s">
        <v>78</v>
      </c>
      <c r="Q18" s="422"/>
      <c r="R18" s="117" t="s">
        <v>79</v>
      </c>
      <c r="S18" s="117">
        <v>100</v>
      </c>
      <c r="T18" s="117">
        <v>100</v>
      </c>
    </row>
    <row r="19" spans="1:20" ht="19.899999999999999" customHeight="1" x14ac:dyDescent="0.25">
      <c r="A19" s="219" t="s">
        <v>192</v>
      </c>
      <c r="B19" s="119" t="s">
        <v>156</v>
      </c>
      <c r="C19" s="125">
        <v>810</v>
      </c>
      <c r="D19" s="166">
        <v>35.1</v>
      </c>
      <c r="E19" s="166">
        <v>35</v>
      </c>
      <c r="F19" s="91">
        <f t="shared" si="9"/>
        <v>35.06666666666667</v>
      </c>
      <c r="G19" s="101">
        <f t="shared" si="10"/>
        <v>63.821333333333349</v>
      </c>
      <c r="H19" s="91">
        <f t="shared" si="13"/>
        <v>78.791769547325117</v>
      </c>
      <c r="I19" s="101">
        <f t="shared" si="11"/>
        <v>1531.7120000000004</v>
      </c>
      <c r="J19" s="103">
        <f t="shared" si="8"/>
        <v>1531.7120000000004</v>
      </c>
      <c r="K19" s="180">
        <v>41587</v>
      </c>
      <c r="L19" s="62">
        <v>1000</v>
      </c>
      <c r="M19" s="105">
        <f t="shared" si="12"/>
        <v>636993.06944000022</v>
      </c>
      <c r="N19" s="427"/>
      <c r="O19" s="428"/>
      <c r="P19" s="428"/>
      <c r="Q19" s="428"/>
      <c r="R19" s="428"/>
      <c r="S19" s="428"/>
      <c r="T19" s="428"/>
    </row>
    <row r="20" spans="1:20" ht="19.899999999999999" customHeight="1" x14ac:dyDescent="0.25">
      <c r="A20" s="219" t="s">
        <v>193</v>
      </c>
      <c r="B20" s="119" t="s">
        <v>74</v>
      </c>
      <c r="C20" s="125">
        <v>840</v>
      </c>
      <c r="D20" s="166">
        <v>50.69</v>
      </c>
      <c r="E20" s="166">
        <v>50.65</v>
      </c>
      <c r="F20" s="91">
        <f t="shared" si="9"/>
        <v>50.676666666666662</v>
      </c>
      <c r="G20" s="101">
        <f t="shared" si="10"/>
        <v>92.231533333333346</v>
      </c>
      <c r="H20" s="91">
        <f t="shared" si="13"/>
        <v>109.79944444444445</v>
      </c>
      <c r="I20" s="101">
        <f t="shared" si="11"/>
        <v>2213.5568000000003</v>
      </c>
      <c r="J20" s="103">
        <f t="shared" si="8"/>
        <v>2213.5568000000003</v>
      </c>
      <c r="K20" s="180">
        <v>41587</v>
      </c>
      <c r="L20" s="62">
        <v>1000</v>
      </c>
      <c r="M20" s="105">
        <f t="shared" si="12"/>
        <v>920551.86641600006</v>
      </c>
      <c r="N20" s="119"/>
      <c r="O20" s="120"/>
      <c r="P20" s="120"/>
      <c r="Q20" s="120"/>
      <c r="R20" s="120"/>
      <c r="S20" s="120"/>
      <c r="T20" s="120"/>
    </row>
    <row r="21" spans="1:20" ht="19.899999999999999" customHeight="1" thickBot="1" x14ac:dyDescent="0.3">
      <c r="A21" s="219" t="s">
        <v>194</v>
      </c>
      <c r="B21" s="150" t="s">
        <v>155</v>
      </c>
      <c r="C21" s="72">
        <v>840</v>
      </c>
      <c r="D21" s="167">
        <v>1</v>
      </c>
      <c r="E21" s="167">
        <v>1</v>
      </c>
      <c r="F21" s="107">
        <f t="shared" si="9"/>
        <v>1</v>
      </c>
      <c r="G21" s="107">
        <f t="shared" si="10"/>
        <v>1.8200000000000003</v>
      </c>
      <c r="H21" s="107">
        <f t="shared" si="13"/>
        <v>2.166666666666667</v>
      </c>
      <c r="I21" s="107">
        <f t="shared" si="11"/>
        <v>43.680000000000007</v>
      </c>
      <c r="J21" s="109">
        <f t="shared" si="8"/>
        <v>43.680000000000007</v>
      </c>
      <c r="K21" s="181">
        <v>29555</v>
      </c>
      <c r="L21" s="79">
        <v>1000</v>
      </c>
      <c r="M21" s="111">
        <f t="shared" si="12"/>
        <v>12909.624000000002</v>
      </c>
      <c r="N21" s="119"/>
      <c r="O21" s="120"/>
      <c r="P21" s="120"/>
      <c r="Q21" s="120"/>
      <c r="R21" s="120"/>
      <c r="S21" s="120"/>
      <c r="T21" s="120"/>
    </row>
    <row r="22" spans="1:20" ht="15.75" x14ac:dyDescent="0.25">
      <c r="A22" s="56"/>
      <c r="B22" s="218" t="s">
        <v>195</v>
      </c>
      <c r="C22" s="215" t="s">
        <v>169</v>
      </c>
      <c r="D22" s="244">
        <f t="shared" ref="D22:J22" si="14">SUM(D14:D21)</f>
        <v>102.6</v>
      </c>
      <c r="E22" s="244">
        <f t="shared" si="14"/>
        <v>102.47999999999999</v>
      </c>
      <c r="F22" s="244">
        <f t="shared" si="14"/>
        <v>102.56</v>
      </c>
      <c r="G22" s="244">
        <f t="shared" si="14"/>
        <v>186.65920000000003</v>
      </c>
      <c r="H22" s="244">
        <f t="shared" si="14"/>
        <v>229.84748873924431</v>
      </c>
      <c r="I22" s="244">
        <f t="shared" si="14"/>
        <v>4479.8208000000013</v>
      </c>
      <c r="J22" s="244">
        <f t="shared" si="14"/>
        <v>4479.8208000000013</v>
      </c>
      <c r="K22" s="116"/>
      <c r="L22" s="116"/>
      <c r="M22" s="183">
        <f t="shared" ref="M22" si="15">SUM(M14:M21)</f>
        <v>1842569.4589120003</v>
      </c>
      <c r="N22" s="120"/>
      <c r="O22" s="120"/>
      <c r="P22" s="120"/>
      <c r="Q22" s="120"/>
      <c r="R22" s="120"/>
      <c r="S22" s="120"/>
      <c r="T22" s="120"/>
    </row>
    <row r="23" spans="1:20" ht="19.899999999999999" customHeight="1" thickBot="1" x14ac:dyDescent="0.3">
      <c r="A23" s="223" t="s">
        <v>201</v>
      </c>
      <c r="B23" s="241" t="s">
        <v>180</v>
      </c>
      <c r="C23" s="225" t="s">
        <v>172</v>
      </c>
      <c r="D23" s="245">
        <f>D11-D22</f>
        <v>0.10000000000000853</v>
      </c>
      <c r="E23" s="246">
        <f>E11-E22</f>
        <v>0.12000000000000455</v>
      </c>
      <c r="F23" s="245">
        <f>F11-F22</f>
        <v>0.10666666666668334</v>
      </c>
      <c r="G23" s="247">
        <f>G11-G22</f>
        <v>0.19413333333332616</v>
      </c>
      <c r="H23" s="248"/>
      <c r="I23" s="249">
        <f>I11-I22</f>
        <v>4.6592000000000553</v>
      </c>
      <c r="J23" s="249">
        <f t="shared" ref="J23" si="16">J11-J22</f>
        <v>4.6592000000000553</v>
      </c>
      <c r="K23" s="230"/>
      <c r="L23" s="230"/>
      <c r="M23" s="231"/>
      <c r="N23" s="120"/>
      <c r="O23" s="120"/>
      <c r="P23" s="120"/>
      <c r="Q23" s="120"/>
      <c r="R23" s="120"/>
      <c r="S23" s="120"/>
      <c r="T23" s="120"/>
    </row>
    <row r="24" spans="1:20" ht="18" customHeight="1" x14ac:dyDescent="0.25">
      <c r="A24" s="222"/>
      <c r="B24" s="242" t="s">
        <v>47</v>
      </c>
      <c r="C24" s="243" t="s">
        <v>173</v>
      </c>
      <c r="D24" s="233">
        <f>D11-D22-D23</f>
        <v>0</v>
      </c>
      <c r="E24" s="233">
        <f t="shared" ref="E24:J24" si="17">E11-E22-E23</f>
        <v>0</v>
      </c>
      <c r="F24" s="233">
        <f t="shared" si="17"/>
        <v>0</v>
      </c>
      <c r="G24" s="233">
        <f t="shared" si="17"/>
        <v>0</v>
      </c>
      <c r="H24" s="233"/>
      <c r="I24" s="233">
        <f t="shared" si="17"/>
        <v>0</v>
      </c>
      <c r="J24" s="233">
        <f t="shared" si="17"/>
        <v>0</v>
      </c>
    </row>
    <row r="25" spans="1:20" x14ac:dyDescent="0.25">
      <c r="A25" s="222"/>
      <c r="B25" s="216"/>
      <c r="C25" s="234"/>
      <c r="D25" s="235"/>
      <c r="E25" s="235"/>
      <c r="F25" s="235"/>
      <c r="G25" s="236"/>
      <c r="H25" s="235"/>
      <c r="I25" s="235"/>
      <c r="J25" s="235"/>
      <c r="K25" s="56"/>
      <c r="L25" s="56"/>
      <c r="M25" s="56"/>
    </row>
    <row r="26" spans="1:20" ht="18.75" x14ac:dyDescent="0.3">
      <c r="A26" s="2"/>
      <c r="B26" s="459" t="s">
        <v>196</v>
      </c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60"/>
    </row>
    <row r="27" spans="1:20" ht="21" x14ac:dyDescent="0.35">
      <c r="A27" s="2"/>
      <c r="B27" s="431" t="s">
        <v>167</v>
      </c>
      <c r="C27" s="431"/>
      <c r="D27" s="432"/>
      <c r="E27" s="141" t="s">
        <v>197</v>
      </c>
      <c r="F27" s="461">
        <v>2606766.11</v>
      </c>
      <c r="G27" s="461"/>
      <c r="H27" s="461"/>
      <c r="I27" s="461"/>
      <c r="J27" s="461"/>
      <c r="K27" s="461"/>
      <c r="L27" s="461"/>
      <c r="M27" s="462"/>
    </row>
    <row r="28" spans="1:20" ht="21" x14ac:dyDescent="0.35">
      <c r="A28" s="2"/>
      <c r="B28" s="434" t="s">
        <v>170</v>
      </c>
      <c r="C28" s="434"/>
      <c r="D28" s="435"/>
      <c r="E28" s="141" t="s">
        <v>198</v>
      </c>
      <c r="F28" s="461">
        <f>M9</f>
        <v>1290962.4000000001</v>
      </c>
      <c r="G28" s="461"/>
      <c r="H28" s="461"/>
      <c r="I28" s="461"/>
      <c r="J28" s="461"/>
      <c r="K28" s="461"/>
      <c r="L28" s="461"/>
      <c r="M28" s="462"/>
    </row>
    <row r="29" spans="1:20" ht="21" x14ac:dyDescent="0.35">
      <c r="A29" s="2"/>
      <c r="B29" s="434" t="s">
        <v>171</v>
      </c>
      <c r="C29" s="434"/>
      <c r="D29" s="435"/>
      <c r="E29" s="142" t="s">
        <v>199</v>
      </c>
      <c r="F29" s="439"/>
      <c r="G29" s="439"/>
      <c r="H29" s="439"/>
      <c r="I29" s="439"/>
      <c r="J29" s="439"/>
      <c r="K29" s="439"/>
      <c r="L29" s="439"/>
      <c r="M29" s="440"/>
    </row>
    <row r="30" spans="1:20" ht="29.25" thickBot="1" x14ac:dyDescent="0.5">
      <c r="A30" s="2"/>
      <c r="B30" s="437" t="s">
        <v>174</v>
      </c>
      <c r="C30" s="437"/>
      <c r="D30" s="438"/>
      <c r="E30" s="177" t="s">
        <v>200</v>
      </c>
      <c r="F30" s="441"/>
      <c r="G30" s="441"/>
      <c r="H30" s="441"/>
      <c r="I30" s="441"/>
      <c r="J30" s="441"/>
      <c r="K30" s="441"/>
      <c r="L30" s="441"/>
      <c r="M30" s="442"/>
    </row>
  </sheetData>
  <mergeCells count="34">
    <mergeCell ref="G3:I3"/>
    <mergeCell ref="N3:O3"/>
    <mergeCell ref="P3:R3"/>
    <mergeCell ref="S3:T3"/>
    <mergeCell ref="N4:O4"/>
    <mergeCell ref="P4:Q4"/>
    <mergeCell ref="N5:O5"/>
    <mergeCell ref="P5:Q5"/>
    <mergeCell ref="N6:O6"/>
    <mergeCell ref="P6:Q6"/>
    <mergeCell ref="N7:O7"/>
    <mergeCell ref="P7:Q7"/>
    <mergeCell ref="N12:O12"/>
    <mergeCell ref="P12:Q12"/>
    <mergeCell ref="N18:O18"/>
    <mergeCell ref="P18:Q18"/>
    <mergeCell ref="N8:O8"/>
    <mergeCell ref="P8:Q8"/>
    <mergeCell ref="N9:O9"/>
    <mergeCell ref="P9:Q9"/>
    <mergeCell ref="N10:O10"/>
    <mergeCell ref="P10:Q10"/>
    <mergeCell ref="N19:T19"/>
    <mergeCell ref="B26:M26"/>
    <mergeCell ref="B27:D27"/>
    <mergeCell ref="F27:M27"/>
    <mergeCell ref="B28:D28"/>
    <mergeCell ref="F28:M28"/>
    <mergeCell ref="B29:D29"/>
    <mergeCell ref="F29:M29"/>
    <mergeCell ref="B30:D30"/>
    <mergeCell ref="F30:M30"/>
    <mergeCell ref="G12:I12"/>
    <mergeCell ref="B12:B13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1"/>
  <sheetViews>
    <sheetView topLeftCell="A17" zoomScale="80" zoomScaleNormal="80" workbookViewId="0">
      <selection activeCell="Y11" sqref="Y11"/>
    </sheetView>
  </sheetViews>
  <sheetFormatPr defaultRowHeight="15" x14ac:dyDescent="0.25"/>
  <cols>
    <col min="1" max="1" width="3.28515625" customWidth="1"/>
    <col min="2" max="2" width="25.85546875" customWidth="1"/>
    <col min="3" max="3" width="9" hidden="1" customWidth="1"/>
    <col min="4" max="4" width="10" customWidth="1"/>
    <col min="5" max="5" width="9.7109375" customWidth="1"/>
    <col min="6" max="6" width="9.28515625" customWidth="1"/>
    <col min="7" max="7" width="10" customWidth="1"/>
    <col min="8" max="8" width="12.7109375" customWidth="1"/>
    <col min="9" max="9" width="9.85546875" customWidth="1"/>
    <col min="10" max="10" width="9.140625" hidden="1" customWidth="1"/>
    <col min="11" max="11" width="9.5703125" hidden="1" customWidth="1"/>
    <col min="12" max="12" width="12.28515625" customWidth="1"/>
    <col min="13" max="13" width="10.140625" customWidth="1"/>
    <col min="14" max="14" width="13.28515625" customWidth="1"/>
    <col min="15" max="15" width="15.7109375" customWidth="1"/>
    <col min="16" max="16" width="10.140625" hidden="1" customWidth="1"/>
    <col min="17" max="17" width="7.28515625" hidden="1" customWidth="1"/>
    <col min="18" max="22" width="0" hidden="1" customWidth="1"/>
  </cols>
  <sheetData>
    <row r="2" spans="1:22" ht="25.15" customHeight="1" thickBot="1" x14ac:dyDescent="0.3">
      <c r="B2" s="468" t="s">
        <v>206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22" ht="40.15" customHeight="1" x14ac:dyDescent="0.25">
      <c r="B3" s="320" t="s">
        <v>0</v>
      </c>
      <c r="C3" s="178" t="s">
        <v>177</v>
      </c>
      <c r="D3" s="64" t="s">
        <v>60</v>
      </c>
      <c r="E3" s="64" t="s">
        <v>61</v>
      </c>
      <c r="F3" s="64"/>
      <c r="G3" s="64"/>
      <c r="H3" s="64" t="s">
        <v>160</v>
      </c>
      <c r="I3" s="411" t="s">
        <v>158</v>
      </c>
      <c r="J3" s="412"/>
      <c r="K3" s="412"/>
      <c r="L3" s="64" t="s">
        <v>166</v>
      </c>
      <c r="M3" s="64" t="s">
        <v>152</v>
      </c>
      <c r="N3" s="64" t="s">
        <v>207</v>
      </c>
      <c r="O3" s="66" t="s">
        <v>150</v>
      </c>
      <c r="P3" s="446" t="s">
        <v>62</v>
      </c>
      <c r="Q3" s="443"/>
      <c r="R3" s="443" t="s">
        <v>63</v>
      </c>
      <c r="S3" s="443"/>
      <c r="T3" s="443"/>
      <c r="U3" s="444" t="s">
        <v>64</v>
      </c>
      <c r="V3" s="444"/>
    </row>
    <row r="4" spans="1:22" ht="30" x14ac:dyDescent="0.25">
      <c r="B4" s="264"/>
      <c r="C4" s="265" t="s">
        <v>111</v>
      </c>
      <c r="D4" s="266" t="s">
        <v>140</v>
      </c>
      <c r="E4" s="266" t="s">
        <v>140</v>
      </c>
      <c r="F4" s="266"/>
      <c r="G4" s="266"/>
      <c r="H4" s="266" t="s">
        <v>159</v>
      </c>
      <c r="I4" s="266" t="s">
        <v>109</v>
      </c>
      <c r="J4" s="266" t="s">
        <v>178</v>
      </c>
      <c r="K4" s="267" t="s">
        <v>139</v>
      </c>
      <c r="L4" s="266" t="s">
        <v>139</v>
      </c>
      <c r="M4" s="266" t="s">
        <v>146</v>
      </c>
      <c r="N4" s="266" t="s">
        <v>149</v>
      </c>
      <c r="O4" s="268" t="s">
        <v>151</v>
      </c>
      <c r="P4" s="445"/>
      <c r="Q4" s="429"/>
      <c r="R4" s="429" t="s">
        <v>60</v>
      </c>
      <c r="S4" s="429"/>
      <c r="T4" s="121" t="s">
        <v>61</v>
      </c>
      <c r="U4" s="121" t="s">
        <v>60</v>
      </c>
      <c r="V4" s="121" t="s">
        <v>61</v>
      </c>
    </row>
    <row r="5" spans="1:22" ht="15.75" x14ac:dyDescent="0.25">
      <c r="B5" s="269" t="s">
        <v>99</v>
      </c>
      <c r="C5" s="265">
        <v>880</v>
      </c>
      <c r="D5" s="266">
        <v>13.5</v>
      </c>
      <c r="E5" s="266">
        <v>13.5</v>
      </c>
      <c r="F5" s="266"/>
      <c r="G5" s="266"/>
      <c r="H5" s="301">
        <f>(D5*2/3)+(E5*1/3)</f>
        <v>13.5</v>
      </c>
      <c r="I5" s="270">
        <f>182*H5%</f>
        <v>24.57</v>
      </c>
      <c r="J5" s="270">
        <f>I5*1000/C5</f>
        <v>27.920454545454547</v>
      </c>
      <c r="K5" s="349">
        <f>I5*24</f>
        <v>589.68000000000006</v>
      </c>
      <c r="L5" s="355">
        <f>I5*24</f>
        <v>589.68000000000006</v>
      </c>
      <c r="M5" s="352">
        <v>29555</v>
      </c>
      <c r="N5" s="271">
        <v>1000</v>
      </c>
      <c r="O5" s="309">
        <f>L5*M5*N5/100000</f>
        <v>174279.92400000003</v>
      </c>
      <c r="P5" s="425" t="s">
        <v>65</v>
      </c>
      <c r="Q5" s="426"/>
      <c r="R5" s="428"/>
      <c r="S5" s="428"/>
      <c r="T5" s="120"/>
      <c r="U5" s="120"/>
      <c r="V5" s="120"/>
    </row>
    <row r="6" spans="1:22" ht="15.75" x14ac:dyDescent="0.25">
      <c r="B6" s="272" t="s">
        <v>100</v>
      </c>
      <c r="C6" s="273">
        <v>965</v>
      </c>
      <c r="D6" s="274">
        <v>10.6</v>
      </c>
      <c r="E6" s="274">
        <v>10.6</v>
      </c>
      <c r="F6" s="274"/>
      <c r="G6" s="274"/>
      <c r="H6" s="301">
        <f>(D6*2/3)+(E6*1/3)</f>
        <v>10.6</v>
      </c>
      <c r="I6" s="270">
        <f t="shared" ref="I6:I8" si="0">182*H6%</f>
        <v>19.291999999999998</v>
      </c>
      <c r="J6" s="270">
        <f t="shared" ref="J6:J8" si="1">I6*1000/C6</f>
        <v>19.991709844559583</v>
      </c>
      <c r="K6" s="349">
        <f t="shared" ref="K6:K8" si="2">I6*24</f>
        <v>463.00799999999992</v>
      </c>
      <c r="L6" s="355">
        <f>I6*24</f>
        <v>463.00799999999992</v>
      </c>
      <c r="M6" s="352">
        <v>29555</v>
      </c>
      <c r="N6" s="271">
        <v>1000</v>
      </c>
      <c r="O6" s="309">
        <f t="shared" ref="O6:O8" si="3">L6*M6*N6/100000</f>
        <v>136842.01439999999</v>
      </c>
      <c r="P6" s="425" t="s">
        <v>69</v>
      </c>
      <c r="Q6" s="426"/>
      <c r="R6" s="428"/>
      <c r="S6" s="428"/>
      <c r="T6" s="120"/>
      <c r="U6" s="120"/>
      <c r="V6" s="120"/>
    </row>
    <row r="7" spans="1:22" ht="15.75" x14ac:dyDescent="0.25">
      <c r="B7" s="269" t="s">
        <v>93</v>
      </c>
      <c r="C7" s="265">
        <v>920</v>
      </c>
      <c r="D7" s="266">
        <v>61.6</v>
      </c>
      <c r="E7" s="266">
        <v>61.6</v>
      </c>
      <c r="F7" s="266"/>
      <c r="G7" s="266"/>
      <c r="H7" s="301">
        <f>(D7*2/3)+(E7*1/3)</f>
        <v>61.600000000000009</v>
      </c>
      <c r="I7" s="270">
        <f t="shared" si="0"/>
        <v>112.11200000000002</v>
      </c>
      <c r="J7" s="270">
        <f t="shared" si="1"/>
        <v>121.86086956521743</v>
      </c>
      <c r="K7" s="349">
        <f t="shared" si="2"/>
        <v>2690.6880000000006</v>
      </c>
      <c r="L7" s="355">
        <f>I7*24</f>
        <v>2690.6880000000006</v>
      </c>
      <c r="M7" s="352">
        <v>29555</v>
      </c>
      <c r="N7" s="271">
        <v>1000</v>
      </c>
      <c r="O7" s="309">
        <f t="shared" si="3"/>
        <v>795232.83840000012</v>
      </c>
      <c r="P7" s="425" t="s">
        <v>70</v>
      </c>
      <c r="Q7" s="426"/>
      <c r="R7" s="428"/>
      <c r="S7" s="428"/>
      <c r="T7" s="120"/>
      <c r="U7" s="120"/>
      <c r="V7" s="120"/>
    </row>
    <row r="8" spans="1:22" ht="15.75" x14ac:dyDescent="0.25">
      <c r="B8" s="269" t="s">
        <v>138</v>
      </c>
      <c r="C8" s="265">
        <v>870</v>
      </c>
      <c r="D8" s="266">
        <v>14.3</v>
      </c>
      <c r="E8" s="266">
        <v>14.3</v>
      </c>
      <c r="F8" s="266"/>
      <c r="G8" s="266"/>
      <c r="H8" s="301">
        <f>(D8*2/3)+(E8*1/3)</f>
        <v>14.3</v>
      </c>
      <c r="I8" s="270">
        <f t="shared" si="0"/>
        <v>26.026000000000003</v>
      </c>
      <c r="J8" s="270">
        <f t="shared" si="1"/>
        <v>29.914942528735637</v>
      </c>
      <c r="K8" s="349">
        <f t="shared" si="2"/>
        <v>624.62400000000002</v>
      </c>
      <c r="L8" s="355">
        <f>I8*24</f>
        <v>624.62400000000002</v>
      </c>
      <c r="M8" s="352">
        <v>29555</v>
      </c>
      <c r="N8" s="271">
        <v>1000</v>
      </c>
      <c r="O8" s="309">
        <f t="shared" si="3"/>
        <v>184607.6232</v>
      </c>
      <c r="P8" s="427" t="s">
        <v>71</v>
      </c>
      <c r="Q8" s="428"/>
      <c r="R8" s="428"/>
      <c r="S8" s="428"/>
      <c r="T8" s="120"/>
      <c r="U8" s="120"/>
      <c r="V8" s="120"/>
    </row>
    <row r="9" spans="1:22" ht="15.75" x14ac:dyDescent="0.25">
      <c r="B9" s="275" t="s">
        <v>208</v>
      </c>
      <c r="C9" s="276"/>
      <c r="D9" s="277">
        <f>SUM(D5:D8)</f>
        <v>100</v>
      </c>
      <c r="E9" s="277">
        <f t="shared" ref="E9:J9" si="4">SUM(E5:E8)</f>
        <v>100</v>
      </c>
      <c r="F9" s="277"/>
      <c r="G9" s="277"/>
      <c r="H9" s="302">
        <f t="shared" si="4"/>
        <v>100.00000000000001</v>
      </c>
      <c r="I9" s="277">
        <f t="shared" si="4"/>
        <v>182.00000000000003</v>
      </c>
      <c r="J9" s="348">
        <f t="shared" si="4"/>
        <v>199.68797648396719</v>
      </c>
      <c r="K9" s="350">
        <f>SUM(K5:K8)</f>
        <v>4368.0000000000009</v>
      </c>
      <c r="L9" s="356">
        <f t="shared" ref="L9" si="5">SUM(L5:L8)</f>
        <v>4368.0000000000009</v>
      </c>
      <c r="M9" s="277"/>
      <c r="N9" s="277"/>
      <c r="O9" s="310">
        <f t="shared" ref="O9" si="6">SUM(O5:O8)</f>
        <v>1290962.4000000001</v>
      </c>
      <c r="P9" s="427" t="s">
        <v>72</v>
      </c>
      <c r="Q9" s="428"/>
      <c r="R9" s="428"/>
      <c r="S9" s="428"/>
      <c r="T9" s="120"/>
      <c r="U9" s="120"/>
      <c r="V9" s="120"/>
    </row>
    <row r="10" spans="1:22" ht="16.5" thickBot="1" x14ac:dyDescent="0.3">
      <c r="B10" s="313" t="s">
        <v>179</v>
      </c>
      <c r="C10" s="278"/>
      <c r="D10" s="211">
        <v>2.9</v>
      </c>
      <c r="E10" s="211">
        <v>2.8</v>
      </c>
      <c r="F10" s="256"/>
      <c r="G10" s="256"/>
      <c r="H10" s="303">
        <f>(D10*2/3)+(E10*1/3)</f>
        <v>2.8666666666666667</v>
      </c>
      <c r="I10" s="212">
        <f>I9*H10%</f>
        <v>5.2173333333333343</v>
      </c>
      <c r="J10" s="279">
        <f>I10*1000*22.4/2.01</f>
        <v>58143.416252072981</v>
      </c>
      <c r="K10" s="351">
        <f>I10*24</f>
        <v>125.21600000000002</v>
      </c>
      <c r="L10" s="303">
        <f>L9*H10%</f>
        <v>125.21600000000002</v>
      </c>
      <c r="M10" s="280"/>
      <c r="N10" s="280"/>
      <c r="O10" s="281"/>
      <c r="P10" s="423" t="s">
        <v>73</v>
      </c>
      <c r="Q10" s="424"/>
      <c r="R10" s="453"/>
      <c r="S10" s="424"/>
      <c r="T10" s="21"/>
      <c r="U10" s="21"/>
      <c r="V10" s="21"/>
    </row>
    <row r="11" spans="1:22" ht="24" customHeight="1" thickBot="1" x14ac:dyDescent="0.3">
      <c r="B11" s="314" t="s">
        <v>210</v>
      </c>
      <c r="C11" s="282" t="s">
        <v>168</v>
      </c>
      <c r="D11" s="253">
        <f>D9+D10</f>
        <v>102.9</v>
      </c>
      <c r="E11" s="253">
        <f t="shared" ref="E11:L11" si="7">E9+E10</f>
        <v>102.8</v>
      </c>
      <c r="F11" s="197"/>
      <c r="G11" s="197"/>
      <c r="H11" s="304">
        <f t="shared" si="7"/>
        <v>102.86666666666667</v>
      </c>
      <c r="I11" s="253">
        <f t="shared" si="7"/>
        <v>187.21733333333336</v>
      </c>
      <c r="J11" s="198"/>
      <c r="K11" s="344">
        <f>K9+K10</f>
        <v>4493.2160000000013</v>
      </c>
      <c r="L11" s="357">
        <f t="shared" si="7"/>
        <v>4493.2160000000013</v>
      </c>
      <c r="M11" s="205"/>
      <c r="N11" s="205"/>
      <c r="O11" s="206"/>
      <c r="P11" s="122"/>
      <c r="Q11" s="123"/>
      <c r="R11" s="124"/>
      <c r="S11" s="123"/>
      <c r="T11" s="21"/>
      <c r="U11" s="21"/>
      <c r="V11" s="21"/>
    </row>
    <row r="12" spans="1:22" ht="48" customHeight="1" thickBot="1" x14ac:dyDescent="0.3">
      <c r="B12" s="475" t="s">
        <v>21</v>
      </c>
      <c r="C12" s="130" t="s">
        <v>177</v>
      </c>
      <c r="D12" s="130" t="s">
        <v>60</v>
      </c>
      <c r="E12" s="130" t="s">
        <v>61</v>
      </c>
      <c r="F12" s="130" t="s">
        <v>202</v>
      </c>
      <c r="G12" s="130" t="s">
        <v>203</v>
      </c>
      <c r="H12" s="130" t="s">
        <v>204</v>
      </c>
      <c r="I12" s="411" t="s">
        <v>162</v>
      </c>
      <c r="J12" s="412"/>
      <c r="K12" s="412"/>
      <c r="L12" s="130" t="s">
        <v>157</v>
      </c>
      <c r="M12" s="130" t="s">
        <v>152</v>
      </c>
      <c r="N12" s="130" t="s">
        <v>216</v>
      </c>
      <c r="O12" s="132" t="s">
        <v>163</v>
      </c>
      <c r="P12" s="454" t="s">
        <v>75</v>
      </c>
      <c r="Q12" s="455"/>
      <c r="R12" s="456">
        <v>1</v>
      </c>
      <c r="S12" s="457"/>
      <c r="T12" s="117">
        <v>1</v>
      </c>
      <c r="U12" s="117">
        <v>1</v>
      </c>
      <c r="V12" s="117">
        <v>1</v>
      </c>
    </row>
    <row r="13" spans="1:22" ht="34.15" customHeight="1" thickBot="1" x14ac:dyDescent="0.3">
      <c r="B13" s="476"/>
      <c r="C13" s="110" t="s">
        <v>111</v>
      </c>
      <c r="D13" s="295" t="s">
        <v>140</v>
      </c>
      <c r="E13" s="295" t="s">
        <v>140</v>
      </c>
      <c r="F13" s="295" t="s">
        <v>140</v>
      </c>
      <c r="G13" s="295" t="s">
        <v>140</v>
      </c>
      <c r="H13" s="295" t="s">
        <v>159</v>
      </c>
      <c r="I13" s="257" t="s">
        <v>109</v>
      </c>
      <c r="J13" s="257" t="s">
        <v>178</v>
      </c>
      <c r="K13" s="258" t="s">
        <v>139</v>
      </c>
      <c r="L13" s="295" t="s">
        <v>139</v>
      </c>
      <c r="M13" s="295" t="s">
        <v>146</v>
      </c>
      <c r="N13" s="295" t="s">
        <v>149</v>
      </c>
      <c r="O13" s="337" t="s">
        <v>151</v>
      </c>
      <c r="P13" s="22"/>
      <c r="Q13" s="23"/>
      <c r="R13" s="118"/>
      <c r="S13" s="117"/>
      <c r="T13" s="117"/>
      <c r="U13" s="117"/>
      <c r="V13" s="117"/>
    </row>
    <row r="14" spans="1:22" ht="19.899999999999999" customHeight="1" thickBot="1" x14ac:dyDescent="0.3">
      <c r="A14" s="219" t="s">
        <v>32</v>
      </c>
      <c r="B14" s="315" t="s">
        <v>65</v>
      </c>
      <c r="C14" s="283"/>
      <c r="D14" s="332">
        <v>0.5</v>
      </c>
      <c r="E14" s="332">
        <v>0.4</v>
      </c>
      <c r="F14" s="284">
        <f>D14*100/$D$23</f>
        <v>0.48600311041990674</v>
      </c>
      <c r="G14" s="284">
        <f>E14*100/$E$23</f>
        <v>0.38921864357302716</v>
      </c>
      <c r="H14" s="285">
        <f>(F14*2/3)+(G14*1/3)</f>
        <v>0.45374162147094688</v>
      </c>
      <c r="I14" s="285">
        <f>$L$11*H14%/24</f>
        <v>0.84948296394133438</v>
      </c>
      <c r="J14" s="285"/>
      <c r="K14" s="285">
        <f>I14*24</f>
        <v>20.387591134592025</v>
      </c>
      <c r="L14" s="353">
        <f>I14*24</f>
        <v>20.387591134592025</v>
      </c>
      <c r="M14" s="286">
        <v>0</v>
      </c>
      <c r="N14" s="287">
        <v>1000</v>
      </c>
      <c r="O14" s="288">
        <f>L14*M14*N14</f>
        <v>0</v>
      </c>
      <c r="P14" s="22"/>
      <c r="Q14" s="23"/>
      <c r="R14" s="118"/>
      <c r="S14" s="117"/>
      <c r="T14" s="117"/>
      <c r="U14" s="117"/>
      <c r="V14" s="117"/>
    </row>
    <row r="15" spans="1:22" ht="19.899999999999999" customHeight="1" thickBot="1" x14ac:dyDescent="0.3">
      <c r="A15" s="219" t="s">
        <v>188</v>
      </c>
      <c r="B15" s="316" t="s">
        <v>69</v>
      </c>
      <c r="C15" s="280"/>
      <c r="D15" s="333">
        <v>0.1</v>
      </c>
      <c r="E15" s="333">
        <v>0.1</v>
      </c>
      <c r="F15" s="284">
        <f t="shared" ref="F15:F22" si="8">D15*100/$D$23</f>
        <v>9.7200622083981336E-2</v>
      </c>
      <c r="G15" s="284">
        <f t="shared" ref="G15:G22" si="9">E15*100/$E$23</f>
        <v>9.7304660893256789E-2</v>
      </c>
      <c r="H15" s="285">
        <f t="shared" ref="H15:H22" si="10">(F15*2/3)+(G15*1/3)</f>
        <v>9.7235301687073158E-2</v>
      </c>
      <c r="I15" s="285">
        <f t="shared" ref="I15:I21" si="11">$L$11*H15%/24</f>
        <v>0.18204133887716012</v>
      </c>
      <c r="J15" s="290"/>
      <c r="K15" s="285">
        <f t="shared" ref="K15:K21" si="12">I15*24</f>
        <v>4.3689921330518429</v>
      </c>
      <c r="L15" s="353">
        <f t="shared" ref="L15:L22" si="13">I15*24</f>
        <v>4.3689921330518429</v>
      </c>
      <c r="M15" s="291">
        <v>13306</v>
      </c>
      <c r="N15" s="287">
        <v>1000</v>
      </c>
      <c r="O15" s="311">
        <f>L15*M15*N15/100000</f>
        <v>581.33809322387822</v>
      </c>
      <c r="P15" s="22"/>
      <c r="Q15" s="23"/>
      <c r="R15" s="118"/>
      <c r="S15" s="117"/>
      <c r="T15" s="117"/>
      <c r="U15" s="117"/>
      <c r="V15" s="117"/>
    </row>
    <row r="16" spans="1:22" ht="19.899999999999999" customHeight="1" thickBot="1" x14ac:dyDescent="0.3">
      <c r="A16" s="219" t="s">
        <v>189</v>
      </c>
      <c r="B16" s="316" t="s">
        <v>70</v>
      </c>
      <c r="C16" s="266">
        <v>550</v>
      </c>
      <c r="D16" s="334">
        <v>0.11</v>
      </c>
      <c r="E16" s="334">
        <v>0.12</v>
      </c>
      <c r="F16" s="284">
        <f t="shared" si="8"/>
        <v>0.10692068429237947</v>
      </c>
      <c r="G16" s="284">
        <f t="shared" si="9"/>
        <v>0.11676559307190815</v>
      </c>
      <c r="H16" s="285">
        <f t="shared" si="10"/>
        <v>0.11020232055222236</v>
      </c>
      <c r="I16" s="285">
        <f t="shared" si="11"/>
        <v>0.20631784580932269</v>
      </c>
      <c r="J16" s="290">
        <f>I16*1000/C16</f>
        <v>0.37512335601695035</v>
      </c>
      <c r="K16" s="285">
        <f t="shared" si="12"/>
        <v>4.9516282994237448</v>
      </c>
      <c r="L16" s="353">
        <f t="shared" si="13"/>
        <v>4.9516282994237448</v>
      </c>
      <c r="M16" s="291">
        <v>34951</v>
      </c>
      <c r="N16" s="287">
        <v>1000</v>
      </c>
      <c r="O16" s="311">
        <f t="shared" ref="O16:O20" si="14">L16*M16*N16/100000</f>
        <v>1730.643606931593</v>
      </c>
      <c r="P16" s="22"/>
      <c r="Q16" s="23"/>
      <c r="R16" s="118"/>
      <c r="S16" s="117"/>
      <c r="T16" s="117"/>
      <c r="U16" s="117"/>
      <c r="V16" s="117"/>
    </row>
    <row r="17" spans="1:23" ht="19.899999999999999" customHeight="1" thickBot="1" x14ac:dyDescent="0.3">
      <c r="A17" s="219" t="s">
        <v>190</v>
      </c>
      <c r="B17" s="316" t="s">
        <v>153</v>
      </c>
      <c r="C17" s="266">
        <v>700</v>
      </c>
      <c r="D17" s="334">
        <v>11.41</v>
      </c>
      <c r="E17" s="334">
        <v>11.5</v>
      </c>
      <c r="F17" s="284">
        <f t="shared" si="8"/>
        <v>11.090590979782272</v>
      </c>
      <c r="G17" s="284">
        <f t="shared" si="9"/>
        <v>11.190036002724531</v>
      </c>
      <c r="H17" s="285">
        <f t="shared" si="10"/>
        <v>11.123739320763026</v>
      </c>
      <c r="I17" s="285">
        <f t="shared" si="11"/>
        <v>20.82556812328399</v>
      </c>
      <c r="J17" s="290">
        <f t="shared" ref="J17:J21" si="15">I17*1000/C17</f>
        <v>29.750811604691414</v>
      </c>
      <c r="K17" s="285">
        <f t="shared" si="12"/>
        <v>499.81363495881578</v>
      </c>
      <c r="L17" s="353">
        <f t="shared" si="13"/>
        <v>499.81363495881578</v>
      </c>
      <c r="M17" s="291">
        <v>40807</v>
      </c>
      <c r="N17" s="287">
        <v>1000</v>
      </c>
      <c r="O17" s="311">
        <f t="shared" si="14"/>
        <v>203958.95001764392</v>
      </c>
      <c r="P17" s="22"/>
      <c r="Q17" s="23"/>
      <c r="R17" s="118"/>
      <c r="S17" s="117"/>
      <c r="T17" s="117"/>
      <c r="U17" s="117"/>
      <c r="V17" s="117"/>
    </row>
    <row r="18" spans="1:23" ht="19.899999999999999" customHeight="1" x14ac:dyDescent="0.25">
      <c r="A18" s="219" t="s">
        <v>191</v>
      </c>
      <c r="B18" s="317" t="s">
        <v>154</v>
      </c>
      <c r="C18" s="265">
        <v>750</v>
      </c>
      <c r="D18" s="334">
        <v>3.69</v>
      </c>
      <c r="E18" s="334">
        <v>3.71</v>
      </c>
      <c r="F18" s="284">
        <f t="shared" si="8"/>
        <v>3.5867029548989113</v>
      </c>
      <c r="G18" s="284">
        <f t="shared" si="9"/>
        <v>3.6100029191398271</v>
      </c>
      <c r="H18" s="285">
        <f t="shared" si="10"/>
        <v>3.5944696096458832</v>
      </c>
      <c r="I18" s="285">
        <f t="shared" si="11"/>
        <v>6.729470150656101</v>
      </c>
      <c r="J18" s="290">
        <f t="shared" si="15"/>
        <v>8.972626867541468</v>
      </c>
      <c r="K18" s="285">
        <f t="shared" si="12"/>
        <v>161.50728361574642</v>
      </c>
      <c r="L18" s="353">
        <f t="shared" si="13"/>
        <v>161.50728361574642</v>
      </c>
      <c r="M18" s="291">
        <v>40807</v>
      </c>
      <c r="N18" s="287">
        <v>1000</v>
      </c>
      <c r="O18" s="311">
        <f t="shared" si="14"/>
        <v>65906.277225077632</v>
      </c>
      <c r="P18" s="421" t="s">
        <v>77</v>
      </c>
      <c r="Q18" s="422"/>
      <c r="R18" s="458" t="s">
        <v>78</v>
      </c>
      <c r="S18" s="422"/>
      <c r="T18" s="117" t="s">
        <v>79</v>
      </c>
      <c r="U18" s="117">
        <v>100</v>
      </c>
      <c r="V18" s="117">
        <v>100</v>
      </c>
    </row>
    <row r="19" spans="1:23" ht="19.899999999999999" customHeight="1" x14ac:dyDescent="0.25">
      <c r="A19" s="219" t="s">
        <v>192</v>
      </c>
      <c r="B19" s="317" t="s">
        <v>156</v>
      </c>
      <c r="C19" s="265">
        <v>810</v>
      </c>
      <c r="D19" s="334">
        <v>35.1</v>
      </c>
      <c r="E19" s="334">
        <v>35</v>
      </c>
      <c r="F19" s="284">
        <f t="shared" si="8"/>
        <v>34.117418351477454</v>
      </c>
      <c r="G19" s="284">
        <f t="shared" si="9"/>
        <v>34.05663131263988</v>
      </c>
      <c r="H19" s="285">
        <f t="shared" si="10"/>
        <v>34.097156005198265</v>
      </c>
      <c r="I19" s="285">
        <f t="shared" si="11"/>
        <v>63.835786215438738</v>
      </c>
      <c r="J19" s="290">
        <f t="shared" si="15"/>
        <v>78.809612611652767</v>
      </c>
      <c r="K19" s="285">
        <f t="shared" si="12"/>
        <v>1532.0588691705298</v>
      </c>
      <c r="L19" s="353">
        <f t="shared" si="13"/>
        <v>1532.0588691705298</v>
      </c>
      <c r="M19" s="291">
        <v>41587</v>
      </c>
      <c r="N19" s="287">
        <v>1000</v>
      </c>
      <c r="O19" s="311">
        <f t="shared" si="14"/>
        <v>637137.32192194811</v>
      </c>
      <c r="P19" s="427"/>
      <c r="Q19" s="428"/>
      <c r="R19" s="428"/>
      <c r="S19" s="428"/>
      <c r="T19" s="428"/>
      <c r="U19" s="428"/>
      <c r="V19" s="428"/>
    </row>
    <row r="20" spans="1:23" ht="19.899999999999999" customHeight="1" x14ac:dyDescent="0.25">
      <c r="A20" s="219" t="s">
        <v>193</v>
      </c>
      <c r="B20" s="317" t="s">
        <v>74</v>
      </c>
      <c r="C20" s="265">
        <v>840</v>
      </c>
      <c r="D20" s="334">
        <v>50.69</v>
      </c>
      <c r="E20" s="334">
        <v>50.65</v>
      </c>
      <c r="F20" s="284">
        <f t="shared" si="8"/>
        <v>49.270995334370141</v>
      </c>
      <c r="G20" s="284">
        <f t="shared" si="9"/>
        <v>49.284810742434566</v>
      </c>
      <c r="H20" s="285">
        <f t="shared" si="10"/>
        <v>49.275600470391616</v>
      </c>
      <c r="I20" s="285">
        <f t="shared" si="11"/>
        <v>92.252465184654667</v>
      </c>
      <c r="J20" s="290">
        <f t="shared" si="15"/>
        <v>109.82436331506507</v>
      </c>
      <c r="K20" s="285">
        <f t="shared" si="12"/>
        <v>2214.0591644317119</v>
      </c>
      <c r="L20" s="353">
        <f t="shared" si="13"/>
        <v>2214.0591644317119</v>
      </c>
      <c r="M20" s="291">
        <v>41587</v>
      </c>
      <c r="N20" s="287">
        <v>1000</v>
      </c>
      <c r="O20" s="311">
        <f t="shared" si="14"/>
        <v>920760.784712216</v>
      </c>
      <c r="P20" s="119"/>
      <c r="Q20" s="120"/>
      <c r="R20" s="120"/>
      <c r="S20" s="120"/>
      <c r="T20" s="120"/>
      <c r="U20" s="120"/>
      <c r="V20" s="120"/>
    </row>
    <row r="21" spans="1:23" ht="19.899999999999999" customHeight="1" x14ac:dyDescent="0.25">
      <c r="A21" s="219" t="s">
        <v>194</v>
      </c>
      <c r="B21" s="318" t="s">
        <v>155</v>
      </c>
      <c r="C21" s="266">
        <v>840</v>
      </c>
      <c r="D21" s="334">
        <v>1</v>
      </c>
      <c r="E21" s="334">
        <v>1</v>
      </c>
      <c r="F21" s="289">
        <f t="shared" si="8"/>
        <v>0.97200622083981347</v>
      </c>
      <c r="G21" s="289">
        <f t="shared" si="9"/>
        <v>0.97304660893256789</v>
      </c>
      <c r="H21" s="290">
        <f t="shared" si="10"/>
        <v>0.97235301687073161</v>
      </c>
      <c r="I21" s="285">
        <f t="shared" si="11"/>
        <v>1.820413388771601</v>
      </c>
      <c r="J21" s="290">
        <f t="shared" si="15"/>
        <v>2.1671587961566678</v>
      </c>
      <c r="K21" s="290">
        <f t="shared" si="12"/>
        <v>43.689921330518423</v>
      </c>
      <c r="L21" s="353">
        <f t="shared" si="13"/>
        <v>43.689921330518423</v>
      </c>
      <c r="M21" s="292">
        <v>29555</v>
      </c>
      <c r="N21" s="286">
        <v>1000</v>
      </c>
      <c r="O21" s="312">
        <f>L21*M21*N21/100000</f>
        <v>12912.556249234722</v>
      </c>
      <c r="P21" s="119"/>
      <c r="Q21" s="120"/>
      <c r="R21" s="120"/>
      <c r="S21" s="120"/>
      <c r="T21" s="120"/>
      <c r="U21" s="120"/>
      <c r="V21" s="120"/>
    </row>
    <row r="22" spans="1:23" ht="19.899999999999999" customHeight="1" thickBot="1" x14ac:dyDescent="0.3">
      <c r="A22" s="223" t="s">
        <v>201</v>
      </c>
      <c r="B22" s="319" t="s">
        <v>205</v>
      </c>
      <c r="C22" s="293"/>
      <c r="D22" s="305">
        <v>0.28000000000000003</v>
      </c>
      <c r="E22" s="305">
        <v>0.28999999999999998</v>
      </c>
      <c r="F22" s="306">
        <f t="shared" si="8"/>
        <v>0.2721617418351478</v>
      </c>
      <c r="G22" s="306">
        <f t="shared" si="9"/>
        <v>0.28218351659044466</v>
      </c>
      <c r="H22" s="306">
        <f t="shared" si="10"/>
        <v>0.27550233342024677</v>
      </c>
      <c r="I22" s="359">
        <f>$L$11*H22%/24</f>
        <v>0.51578812190049494</v>
      </c>
      <c r="J22" s="307"/>
      <c r="K22" s="308">
        <f>I22*24</f>
        <v>12.378914925611879</v>
      </c>
      <c r="L22" s="354">
        <f t="shared" si="13"/>
        <v>12.378914925611879</v>
      </c>
      <c r="M22" s="294"/>
      <c r="N22" s="295"/>
      <c r="O22" s="296"/>
      <c r="P22" s="119"/>
      <c r="Q22" s="120"/>
      <c r="R22" s="120"/>
      <c r="S22" s="120"/>
      <c r="T22" s="120"/>
      <c r="U22" s="120"/>
      <c r="V22" s="120"/>
    </row>
    <row r="23" spans="1:23" ht="30" customHeight="1" thickBot="1" x14ac:dyDescent="0.3">
      <c r="A23" s="254"/>
      <c r="B23" s="297" t="s">
        <v>211</v>
      </c>
      <c r="C23" s="298" t="s">
        <v>169</v>
      </c>
      <c r="D23" s="335">
        <f>SUM(D14:D22)</f>
        <v>102.88</v>
      </c>
      <c r="E23" s="335">
        <f t="shared" ref="E23:F23" si="16">SUM(E14:E22)</f>
        <v>102.77</v>
      </c>
      <c r="F23" s="336">
        <f t="shared" si="16"/>
        <v>100.00000000000001</v>
      </c>
      <c r="G23" s="336">
        <f>SUM(G14:G22)</f>
        <v>100</v>
      </c>
      <c r="H23" s="336">
        <f>SUM(H14:H22)</f>
        <v>100.00000000000001</v>
      </c>
      <c r="I23" s="335">
        <f>SUM(I14:I22)</f>
        <v>187.21733333333341</v>
      </c>
      <c r="J23" s="336"/>
      <c r="K23" s="347">
        <f t="shared" ref="K23:L23" si="17">SUM(K14:K22)</f>
        <v>4493.2160000000022</v>
      </c>
      <c r="L23" s="358">
        <f t="shared" si="17"/>
        <v>4493.2160000000022</v>
      </c>
      <c r="M23" s="299"/>
      <c r="N23" s="299"/>
      <c r="O23" s="300">
        <f t="shared" ref="O23" si="18">SUM(O14:O21)</f>
        <v>1842987.871826276</v>
      </c>
      <c r="P23" s="120"/>
      <c r="Q23" s="120"/>
      <c r="R23" s="120"/>
      <c r="S23" s="120"/>
      <c r="T23" s="120"/>
      <c r="U23" s="120"/>
      <c r="V23" s="120"/>
    </row>
    <row r="24" spans="1:23" ht="19.899999999999999" customHeight="1" thickBot="1" x14ac:dyDescent="0.3">
      <c r="A24" s="255"/>
      <c r="B24" s="338" t="s">
        <v>212</v>
      </c>
      <c r="C24" s="339" t="s">
        <v>172</v>
      </c>
      <c r="D24" s="340">
        <f>D11-D23</f>
        <v>2.0000000000010232E-2</v>
      </c>
      <c r="E24" s="341">
        <f>E11-E23</f>
        <v>3.0000000000001137E-2</v>
      </c>
      <c r="F24" s="342"/>
      <c r="G24" s="342"/>
      <c r="H24" s="341"/>
      <c r="I24" s="343">
        <f>I11-I23</f>
        <v>0</v>
      </c>
      <c r="J24" s="250"/>
      <c r="K24" s="345"/>
      <c r="L24" s="346"/>
      <c r="M24" s="251"/>
      <c r="N24" s="251"/>
      <c r="O24" s="252"/>
      <c r="P24" s="120"/>
      <c r="Q24" s="120"/>
      <c r="R24" s="120"/>
      <c r="S24" s="120"/>
      <c r="T24" s="120"/>
      <c r="U24" s="120"/>
      <c r="V24" s="120"/>
    </row>
    <row r="25" spans="1:23" ht="18" hidden="1" customHeight="1" x14ac:dyDescent="0.25">
      <c r="A25" s="222"/>
      <c r="B25" s="321" t="s">
        <v>47</v>
      </c>
      <c r="C25" s="259" t="s">
        <v>173</v>
      </c>
      <c r="D25" s="260">
        <f>D11-(D23+D24)</f>
        <v>0</v>
      </c>
      <c r="E25" s="260">
        <f t="shared" ref="E25:I25" si="19">E11-(E23+E24)</f>
        <v>0</v>
      </c>
      <c r="F25" s="260"/>
      <c r="G25" s="260"/>
      <c r="H25" s="260"/>
      <c r="I25" s="260">
        <f t="shared" si="19"/>
        <v>0</v>
      </c>
      <c r="J25" s="260"/>
      <c r="K25" s="260">
        <f t="shared" ref="K25:L25" si="20">K23-K11</f>
        <v>0</v>
      </c>
      <c r="L25" s="260">
        <f t="shared" si="20"/>
        <v>0</v>
      </c>
      <c r="M25" s="261"/>
      <c r="N25" s="261"/>
      <c r="O25" s="261"/>
    </row>
    <row r="26" spans="1:23" hidden="1" x14ac:dyDescent="0.25">
      <c r="A26" s="323"/>
      <c r="B26" s="324"/>
      <c r="C26" s="325"/>
      <c r="D26" s="326"/>
      <c r="E26" s="326"/>
      <c r="F26" s="326"/>
      <c r="G26" s="326"/>
      <c r="H26" s="326"/>
      <c r="I26" s="327"/>
      <c r="J26" s="326"/>
      <c r="K26" s="326"/>
      <c r="L26" s="326"/>
      <c r="M26" s="328"/>
      <c r="N26" s="328"/>
      <c r="O26" s="328"/>
    </row>
    <row r="27" spans="1:23" ht="18" x14ac:dyDescent="0.25">
      <c r="A27" s="329"/>
      <c r="B27" s="471" t="s">
        <v>196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2"/>
    </row>
    <row r="28" spans="1:23" ht="20.25" x14ac:dyDescent="0.3">
      <c r="A28" s="330"/>
      <c r="B28" s="469" t="s">
        <v>213</v>
      </c>
      <c r="C28" s="469"/>
      <c r="D28" s="469"/>
      <c r="E28" s="469"/>
      <c r="F28" s="469"/>
      <c r="G28" s="262" t="s">
        <v>168</v>
      </c>
      <c r="H28" s="473">
        <f>O23</f>
        <v>1842987.871826276</v>
      </c>
      <c r="I28" s="473"/>
      <c r="J28" s="473"/>
      <c r="K28" s="473"/>
      <c r="L28" s="473"/>
      <c r="M28" s="473"/>
      <c r="N28" s="473"/>
      <c r="O28" s="474"/>
    </row>
    <row r="29" spans="1:23" ht="20.25" x14ac:dyDescent="0.3">
      <c r="A29" s="330"/>
      <c r="B29" s="469" t="s">
        <v>214</v>
      </c>
      <c r="C29" s="469"/>
      <c r="D29" s="469"/>
      <c r="E29" s="469"/>
      <c r="F29" s="469"/>
      <c r="G29" s="262" t="s">
        <v>169</v>
      </c>
      <c r="H29" s="473">
        <f>O9</f>
        <v>1290962.4000000001</v>
      </c>
      <c r="I29" s="473"/>
      <c r="J29" s="473"/>
      <c r="K29" s="473"/>
      <c r="L29" s="473"/>
      <c r="M29" s="473"/>
      <c r="N29" s="473"/>
      <c r="O29" s="474"/>
    </row>
    <row r="30" spans="1:23" ht="20.25" x14ac:dyDescent="0.3">
      <c r="A30" s="330"/>
      <c r="B30" s="469" t="s">
        <v>215</v>
      </c>
      <c r="C30" s="469"/>
      <c r="D30" s="469"/>
      <c r="E30" s="469"/>
      <c r="F30" s="469"/>
      <c r="G30" s="263" t="s">
        <v>172</v>
      </c>
      <c r="H30" s="463"/>
      <c r="I30" s="463"/>
      <c r="J30" s="463"/>
      <c r="K30" s="463"/>
      <c r="L30" s="463"/>
      <c r="M30" s="463"/>
      <c r="N30" s="463"/>
      <c r="O30" s="464"/>
    </row>
    <row r="31" spans="1:23" ht="28.5" thickBot="1" x14ac:dyDescent="0.45">
      <c r="A31" s="331"/>
      <c r="B31" s="470" t="s">
        <v>54</v>
      </c>
      <c r="C31" s="470"/>
      <c r="D31" s="470"/>
      <c r="E31" s="470"/>
      <c r="F31" s="470"/>
      <c r="G31" s="322" t="s">
        <v>173</v>
      </c>
      <c r="H31" s="465">
        <f>H28-H29-H30</f>
        <v>552025.47182627581</v>
      </c>
      <c r="I31" s="466"/>
      <c r="J31" s="466"/>
      <c r="K31" s="466"/>
      <c r="L31" s="466"/>
      <c r="M31" s="466"/>
      <c r="N31" s="466"/>
      <c r="O31" s="467"/>
      <c r="W31" s="360" t="s">
        <v>209</v>
      </c>
    </row>
  </sheetData>
  <mergeCells count="35">
    <mergeCell ref="P3:Q3"/>
    <mergeCell ref="R3:T3"/>
    <mergeCell ref="U3:V3"/>
    <mergeCell ref="P4:Q4"/>
    <mergeCell ref="R4:S4"/>
    <mergeCell ref="P5:Q5"/>
    <mergeCell ref="R5:S5"/>
    <mergeCell ref="P6:Q6"/>
    <mergeCell ref="R6:S6"/>
    <mergeCell ref="P7:Q7"/>
    <mergeCell ref="R7:S7"/>
    <mergeCell ref="P8:Q8"/>
    <mergeCell ref="R8:S8"/>
    <mergeCell ref="P9:Q9"/>
    <mergeCell ref="R9:S9"/>
    <mergeCell ref="P10:Q10"/>
    <mergeCell ref="R10:S10"/>
    <mergeCell ref="P19:V19"/>
    <mergeCell ref="B27:O27"/>
    <mergeCell ref="H28:O28"/>
    <mergeCell ref="H29:O29"/>
    <mergeCell ref="B12:B13"/>
    <mergeCell ref="I12:K12"/>
    <mergeCell ref="P12:Q12"/>
    <mergeCell ref="R12:S12"/>
    <mergeCell ref="P18:Q18"/>
    <mergeCell ref="R18:S18"/>
    <mergeCell ref="H30:O30"/>
    <mergeCell ref="H31:O31"/>
    <mergeCell ref="B2:O2"/>
    <mergeCell ref="B28:F28"/>
    <mergeCell ref="B29:F29"/>
    <mergeCell ref="B30:F30"/>
    <mergeCell ref="B31:F31"/>
    <mergeCell ref="I3:K3"/>
  </mergeCells>
  <pageMargins left="0.25" right="0.25" top="0.25" bottom="0.25" header="0.3" footer="0.3"/>
  <pageSetup paperSize="9" orientation="landscape" verticalDpi="0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"/>
  <sheetViews>
    <sheetView topLeftCell="A3" workbookViewId="0">
      <selection activeCell="K11" sqref="K11:K12"/>
    </sheetView>
  </sheetViews>
  <sheetFormatPr defaultRowHeight="15" x14ac:dyDescent="0.25"/>
  <cols>
    <col min="1" max="1" width="3.28515625" customWidth="1"/>
    <col min="2" max="2" width="19.42578125" customWidth="1"/>
    <col min="5" max="5" width="14.85546875" customWidth="1"/>
    <col min="6" max="6" width="11.85546875" customWidth="1"/>
    <col min="7" max="8" width="10.85546875" customWidth="1"/>
    <col min="9" max="9" width="16.85546875" customWidth="1"/>
    <col min="10" max="10" width="18.5703125" customWidth="1"/>
    <col min="11" max="11" width="10.140625" customWidth="1"/>
    <col min="12" max="12" width="7.28515625" customWidth="1"/>
  </cols>
  <sheetData>
    <row r="2" spans="2:17" ht="15.75" thickBot="1" x14ac:dyDescent="0.3"/>
    <row r="3" spans="2:17" ht="31.9" customHeight="1" x14ac:dyDescent="0.25">
      <c r="B3" s="63" t="s">
        <v>0</v>
      </c>
      <c r="C3" s="64" t="s">
        <v>60</v>
      </c>
      <c r="D3" s="64" t="s">
        <v>61</v>
      </c>
      <c r="E3" s="65" t="s">
        <v>143</v>
      </c>
      <c r="F3" s="64" t="s">
        <v>142</v>
      </c>
      <c r="G3" s="64" t="s">
        <v>145</v>
      </c>
      <c r="H3" s="64" t="s">
        <v>147</v>
      </c>
      <c r="I3" s="64" t="s">
        <v>148</v>
      </c>
      <c r="J3" s="66" t="s">
        <v>150</v>
      </c>
      <c r="K3" s="446" t="s">
        <v>62</v>
      </c>
      <c r="L3" s="443"/>
      <c r="M3" s="443" t="s">
        <v>63</v>
      </c>
      <c r="N3" s="443"/>
      <c r="O3" s="443"/>
      <c r="P3" s="444" t="s">
        <v>64</v>
      </c>
      <c r="Q3" s="444"/>
    </row>
    <row r="4" spans="2:17" ht="24" customHeight="1" x14ac:dyDescent="0.25">
      <c r="B4" s="67"/>
      <c r="C4" s="55" t="s">
        <v>140</v>
      </c>
      <c r="D4" s="55" t="s">
        <v>140</v>
      </c>
      <c r="E4" s="56" t="s">
        <v>144</v>
      </c>
      <c r="F4" s="55" t="s">
        <v>139</v>
      </c>
      <c r="G4" s="55" t="s">
        <v>139</v>
      </c>
      <c r="H4" s="55" t="s">
        <v>146</v>
      </c>
      <c r="I4" s="55" t="s">
        <v>149</v>
      </c>
      <c r="J4" s="68" t="s">
        <v>151</v>
      </c>
      <c r="K4" s="445"/>
      <c r="L4" s="429"/>
      <c r="M4" s="429" t="s">
        <v>60</v>
      </c>
      <c r="N4" s="429"/>
      <c r="O4" s="55" t="s">
        <v>61</v>
      </c>
      <c r="P4" s="55" t="s">
        <v>60</v>
      </c>
      <c r="Q4" s="55" t="s">
        <v>61</v>
      </c>
    </row>
    <row r="5" spans="2:17" ht="22.9" customHeight="1" x14ac:dyDescent="0.25">
      <c r="B5" s="69" t="s">
        <v>141</v>
      </c>
      <c r="C5" s="55">
        <v>13.5</v>
      </c>
      <c r="D5" s="55">
        <v>13.5</v>
      </c>
      <c r="E5" s="55">
        <f>(C5*2/3)+(D5*1/3)</f>
        <v>13.5</v>
      </c>
      <c r="F5" s="477">
        <v>4368</v>
      </c>
      <c r="G5" s="59">
        <f>$F$5*E5%</f>
        <v>589.68000000000006</v>
      </c>
      <c r="H5" s="59">
        <v>29555</v>
      </c>
      <c r="I5" s="59">
        <v>1000</v>
      </c>
      <c r="J5" s="70">
        <f>G5*H5*I5/1000000</f>
        <v>17427.992400000003</v>
      </c>
      <c r="K5" s="82" t="s">
        <v>65</v>
      </c>
      <c r="L5" s="83"/>
      <c r="M5" s="428"/>
      <c r="N5" s="428"/>
      <c r="O5" s="37"/>
      <c r="P5" s="37"/>
      <c r="Q5" s="37"/>
    </row>
    <row r="6" spans="2:17" ht="20.45" customHeight="1" x14ac:dyDescent="0.25">
      <c r="B6" s="71" t="s">
        <v>137</v>
      </c>
      <c r="C6" s="57">
        <v>10.6</v>
      </c>
      <c r="D6" s="57">
        <v>10.6</v>
      </c>
      <c r="E6" s="55">
        <f>(C6*2/3)+(D6*1/3)</f>
        <v>10.6</v>
      </c>
      <c r="F6" s="478"/>
      <c r="G6" s="59">
        <f t="shared" ref="G6:G8" si="0">$F$5*E6%</f>
        <v>463.00799999999998</v>
      </c>
      <c r="H6" s="59">
        <v>29555</v>
      </c>
      <c r="I6" s="59">
        <v>1000</v>
      </c>
      <c r="J6" s="70">
        <f t="shared" ref="J6:J8" si="1">G6*H6*I6/1000000</f>
        <v>13684.201440000001</v>
      </c>
      <c r="K6" s="82" t="s">
        <v>69</v>
      </c>
      <c r="L6" s="83"/>
      <c r="M6" s="428"/>
      <c r="N6" s="428"/>
      <c r="O6" s="37"/>
      <c r="P6" s="37"/>
      <c r="Q6" s="37"/>
    </row>
    <row r="7" spans="2:17" ht="21" customHeight="1" x14ac:dyDescent="0.25">
      <c r="B7" s="69" t="s">
        <v>93</v>
      </c>
      <c r="C7" s="55">
        <v>61.6</v>
      </c>
      <c r="D7" s="55">
        <v>61.6</v>
      </c>
      <c r="E7" s="55">
        <f>(C7*2/3)+(D7*1/3)</f>
        <v>61.600000000000009</v>
      </c>
      <c r="F7" s="478"/>
      <c r="G7" s="59">
        <f t="shared" si="0"/>
        <v>2690.6880000000006</v>
      </c>
      <c r="H7" s="59">
        <v>29555</v>
      </c>
      <c r="I7" s="59">
        <v>1000</v>
      </c>
      <c r="J7" s="70">
        <f t="shared" si="1"/>
        <v>79523.283840000018</v>
      </c>
      <c r="K7" s="82" t="s">
        <v>70</v>
      </c>
      <c r="L7" s="83"/>
      <c r="M7" s="428"/>
      <c r="N7" s="428"/>
      <c r="O7" s="37"/>
      <c r="P7" s="37"/>
      <c r="Q7" s="37"/>
    </row>
    <row r="8" spans="2:17" ht="26.45" customHeight="1" x14ac:dyDescent="0.25">
      <c r="B8" s="69" t="s">
        <v>138</v>
      </c>
      <c r="C8" s="55">
        <v>14.3</v>
      </c>
      <c r="D8" s="55">
        <v>14.3</v>
      </c>
      <c r="E8" s="55">
        <f>(C8*2/3)+(D8*1/3)</f>
        <v>14.3</v>
      </c>
      <c r="F8" s="479"/>
      <c r="G8" s="59">
        <f t="shared" si="0"/>
        <v>624.62400000000002</v>
      </c>
      <c r="H8" s="59">
        <v>29555</v>
      </c>
      <c r="I8" s="59">
        <v>1000</v>
      </c>
      <c r="J8" s="70">
        <f t="shared" si="1"/>
        <v>18460.762320000002</v>
      </c>
      <c r="K8" s="82" t="s">
        <v>71</v>
      </c>
      <c r="L8" s="83"/>
      <c r="M8" s="428"/>
      <c r="N8" s="428"/>
      <c r="O8" s="37"/>
      <c r="P8" s="37"/>
      <c r="Q8" s="37"/>
    </row>
    <row r="9" spans="2:17" ht="26.45" customHeight="1" thickBot="1" x14ac:dyDescent="0.3">
      <c r="B9" s="74" t="s">
        <v>76</v>
      </c>
      <c r="C9" s="75">
        <f>SUM(C5:C8)</f>
        <v>100</v>
      </c>
      <c r="D9" s="75">
        <f t="shared" ref="D9:E9" si="2">SUM(D5:D8)</f>
        <v>100</v>
      </c>
      <c r="E9" s="75">
        <f t="shared" si="2"/>
        <v>100.00000000000001</v>
      </c>
      <c r="F9" s="75">
        <f t="shared" ref="F9" si="3">SUM(F5:F8)</f>
        <v>4368</v>
      </c>
      <c r="G9" s="75">
        <f t="shared" ref="G9" si="4">SUM(G5:G8)</f>
        <v>4368.0000000000009</v>
      </c>
      <c r="H9" s="75"/>
      <c r="I9" s="75"/>
      <c r="J9" s="76">
        <f t="shared" ref="J9" si="5">SUM(J5:J8)</f>
        <v>129096.24000000002</v>
      </c>
      <c r="K9" s="82" t="s">
        <v>72</v>
      </c>
      <c r="L9" s="83"/>
      <c r="M9" s="428"/>
      <c r="N9" s="428"/>
      <c r="O9" s="37"/>
      <c r="P9" s="37"/>
      <c r="Q9" s="37"/>
    </row>
    <row r="10" spans="2:17" ht="26.45" customHeight="1" thickBot="1" x14ac:dyDescent="0.3">
      <c r="B10" s="61" t="s">
        <v>66</v>
      </c>
      <c r="C10" s="62">
        <v>2.7</v>
      </c>
      <c r="D10" s="20"/>
      <c r="E10" s="19"/>
      <c r="F10" s="19"/>
      <c r="G10" s="19"/>
      <c r="H10" s="19"/>
      <c r="I10" s="19"/>
      <c r="J10" s="19"/>
      <c r="K10" s="84" t="s">
        <v>73</v>
      </c>
      <c r="L10" s="85"/>
      <c r="M10" s="453"/>
      <c r="N10" s="424"/>
      <c r="O10" s="21"/>
      <c r="P10" s="21"/>
      <c r="Q10" s="21"/>
    </row>
    <row r="11" spans="2:17" ht="24.6" customHeight="1" thickBot="1" x14ac:dyDescent="0.3">
      <c r="C11" s="17" t="s">
        <v>67</v>
      </c>
      <c r="D11" s="17" t="s">
        <v>68</v>
      </c>
      <c r="E11" s="18"/>
      <c r="F11" s="18"/>
      <c r="G11" s="18"/>
      <c r="H11" s="18"/>
      <c r="I11" s="18"/>
      <c r="J11" s="18"/>
      <c r="K11" s="86" t="s">
        <v>74</v>
      </c>
      <c r="L11" s="25"/>
      <c r="M11" s="480"/>
      <c r="N11" s="455"/>
      <c r="O11" s="23"/>
      <c r="P11" s="23"/>
      <c r="Q11" s="23"/>
    </row>
    <row r="12" spans="2:17" ht="26.45" customHeight="1" thickBot="1" x14ac:dyDescent="0.3">
      <c r="B12" s="37"/>
      <c r="C12" s="20"/>
      <c r="D12" s="20"/>
      <c r="E12" s="19"/>
      <c r="F12" s="19"/>
      <c r="G12" s="19"/>
      <c r="H12" s="19"/>
      <c r="I12" s="19"/>
      <c r="J12" s="19"/>
      <c r="K12" s="86" t="s">
        <v>75</v>
      </c>
      <c r="L12" s="25"/>
      <c r="M12" s="456">
        <v>1</v>
      </c>
      <c r="N12" s="457"/>
      <c r="O12" s="24">
        <v>1</v>
      </c>
      <c r="P12" s="24">
        <v>1</v>
      </c>
      <c r="Q12" s="24">
        <v>1</v>
      </c>
    </row>
    <row r="13" spans="2:17" ht="26.45" customHeight="1" x14ac:dyDescent="0.25">
      <c r="B13" s="54" t="s">
        <v>76</v>
      </c>
      <c r="C13" s="21"/>
      <c r="D13" s="21"/>
      <c r="E13" s="58"/>
      <c r="F13" s="58"/>
      <c r="G13" s="58"/>
      <c r="H13" s="58"/>
      <c r="I13" s="58"/>
      <c r="J13" s="58"/>
      <c r="K13" s="458" t="s">
        <v>77</v>
      </c>
      <c r="L13" s="422"/>
      <c r="M13" s="458" t="s">
        <v>78</v>
      </c>
      <c r="N13" s="422"/>
      <c r="O13" s="24" t="s">
        <v>79</v>
      </c>
      <c r="P13" s="24">
        <v>100</v>
      </c>
      <c r="Q13" s="24">
        <v>100</v>
      </c>
    </row>
    <row r="14" spans="2:17" ht="25.5" x14ac:dyDescent="0.25">
      <c r="B14" s="37" t="s">
        <v>80</v>
      </c>
      <c r="C14" s="37"/>
      <c r="D14" s="37"/>
      <c r="E14" s="37"/>
      <c r="F14" s="37"/>
      <c r="G14" s="37"/>
      <c r="H14" s="37"/>
      <c r="I14" s="37"/>
      <c r="J14" s="37"/>
      <c r="K14" s="428"/>
      <c r="L14" s="428"/>
      <c r="M14" s="428"/>
      <c r="N14" s="428"/>
      <c r="O14" s="428"/>
      <c r="P14" s="428"/>
      <c r="Q14" s="428"/>
    </row>
    <row r="15" spans="2:17" x14ac:dyDescent="0.25">
      <c r="B15" s="429" t="s">
        <v>81</v>
      </c>
      <c r="C15" s="429"/>
      <c r="D15" s="429"/>
      <c r="E15" s="55"/>
      <c r="F15" s="55"/>
      <c r="G15" s="55"/>
      <c r="H15" s="55"/>
      <c r="I15" s="55"/>
      <c r="J15" s="55"/>
      <c r="K15" s="37"/>
      <c r="L15" s="428"/>
      <c r="M15" s="428"/>
      <c r="N15" s="428"/>
      <c r="O15" s="428"/>
      <c r="P15" s="428"/>
      <c r="Q15" s="428"/>
    </row>
  </sheetData>
  <mergeCells count="20">
    <mergeCell ref="K3:L3"/>
    <mergeCell ref="M3:O3"/>
    <mergeCell ref="P3:Q3"/>
    <mergeCell ref="K4:L4"/>
    <mergeCell ref="M4:N4"/>
    <mergeCell ref="K14:Q14"/>
    <mergeCell ref="B15:D15"/>
    <mergeCell ref="L15:M15"/>
    <mergeCell ref="N15:Q15"/>
    <mergeCell ref="F5:F8"/>
    <mergeCell ref="M10:N10"/>
    <mergeCell ref="M11:N11"/>
    <mergeCell ref="M12:N12"/>
    <mergeCell ref="K13:L13"/>
    <mergeCell ref="M13:N13"/>
    <mergeCell ref="M6:N6"/>
    <mergeCell ref="M7:N7"/>
    <mergeCell ref="M8:N8"/>
    <mergeCell ref="M9:N9"/>
    <mergeCell ref="M5:N5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4"/>
  <sheetViews>
    <sheetView workbookViewId="0">
      <selection activeCell="G11" sqref="G11"/>
    </sheetView>
  </sheetViews>
  <sheetFormatPr defaultRowHeight="15" x14ac:dyDescent="0.25"/>
  <cols>
    <col min="4" max="4" width="24.140625" customWidth="1"/>
    <col min="5" max="5" width="15.42578125" customWidth="1"/>
  </cols>
  <sheetData>
    <row r="2" spans="3:5" ht="15.75" thickBot="1" x14ac:dyDescent="0.3"/>
    <row r="3" spans="3:5" ht="15.75" thickBot="1" x14ac:dyDescent="0.3">
      <c r="C3" s="26" t="s">
        <v>82</v>
      </c>
      <c r="D3" s="27" t="s">
        <v>83</v>
      </c>
      <c r="E3" s="27" t="s">
        <v>84</v>
      </c>
    </row>
    <row r="4" spans="3:5" x14ac:dyDescent="0.25">
      <c r="C4" s="34">
        <v>1</v>
      </c>
      <c r="D4" s="35" t="s">
        <v>85</v>
      </c>
      <c r="E4" s="36">
        <v>13306</v>
      </c>
    </row>
    <row r="5" spans="3:5" ht="15.75" thickBot="1" x14ac:dyDescent="0.3">
      <c r="C5" s="29">
        <v>2</v>
      </c>
      <c r="D5" s="28" t="s">
        <v>86</v>
      </c>
      <c r="E5" s="30">
        <v>34951</v>
      </c>
    </row>
    <row r="6" spans="3:5" ht="21" customHeight="1" thickBot="1" x14ac:dyDescent="0.3">
      <c r="C6" s="29">
        <v>3</v>
      </c>
      <c r="D6" s="28" t="s">
        <v>87</v>
      </c>
      <c r="E6" s="30">
        <v>40807</v>
      </c>
    </row>
    <row r="7" spans="3:5" ht="20.45" customHeight="1" thickBot="1" x14ac:dyDescent="0.3">
      <c r="C7" s="29">
        <v>4</v>
      </c>
      <c r="D7" s="28" t="s">
        <v>88</v>
      </c>
      <c r="E7" s="30">
        <v>41587</v>
      </c>
    </row>
    <row r="8" spans="3:5" ht="15.75" thickBot="1" x14ac:dyDescent="0.3">
      <c r="C8" s="29">
        <v>5</v>
      </c>
      <c r="D8" s="28" t="s">
        <v>89</v>
      </c>
      <c r="E8" s="30">
        <v>41587</v>
      </c>
    </row>
    <row r="9" spans="3:5" ht="18" customHeight="1" thickBot="1" x14ac:dyDescent="0.3">
      <c r="C9" s="29">
        <v>6</v>
      </c>
      <c r="D9" s="28" t="s">
        <v>45</v>
      </c>
      <c r="E9" s="30">
        <v>29555</v>
      </c>
    </row>
    <row r="10" spans="3:5" ht="8.4499999999999993" customHeight="1" thickBot="1" x14ac:dyDescent="0.3">
      <c r="C10" s="31"/>
    </row>
    <row r="11" spans="3:5" ht="29.25" thickBot="1" x14ac:dyDescent="0.3">
      <c r="C11" s="32" t="s">
        <v>90</v>
      </c>
      <c r="D11" s="27" t="s">
        <v>91</v>
      </c>
      <c r="E11" s="27" t="s">
        <v>92</v>
      </c>
    </row>
    <row r="12" spans="3:5" ht="15.75" thickBot="1" x14ac:dyDescent="0.3">
      <c r="C12" s="33">
        <v>1</v>
      </c>
      <c r="D12" s="28" t="s">
        <v>93</v>
      </c>
      <c r="E12" s="30">
        <v>29555</v>
      </c>
    </row>
    <row r="13" spans="3:5" ht="15.75" thickBot="1" x14ac:dyDescent="0.3">
      <c r="C13" s="33">
        <v>2</v>
      </c>
      <c r="D13" s="28" t="s">
        <v>94</v>
      </c>
      <c r="E13" s="30">
        <v>29555</v>
      </c>
    </row>
    <row r="14" spans="3:5" ht="15.75" thickBot="1" x14ac:dyDescent="0.3">
      <c r="C14" s="33">
        <v>3</v>
      </c>
      <c r="D14" s="28" t="s">
        <v>95</v>
      </c>
      <c r="E14" s="30">
        <v>29555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"/>
  <sheetViews>
    <sheetView topLeftCell="A47" workbookViewId="0">
      <selection activeCell="F44" sqref="F44"/>
    </sheetView>
  </sheetViews>
  <sheetFormatPr defaultRowHeight="15" x14ac:dyDescent="0.25"/>
  <cols>
    <col min="4" max="4" width="10.28515625" customWidth="1"/>
    <col min="5" max="6" width="11.28515625" customWidth="1"/>
    <col min="7" max="7" width="10.140625" customWidth="1"/>
  </cols>
  <sheetData>
    <row r="2" spans="2:9" ht="15.75" thickBot="1" x14ac:dyDescent="0.3">
      <c r="B2" s="483" t="s">
        <v>96</v>
      </c>
      <c r="C2" s="483"/>
      <c r="D2" s="483"/>
      <c r="E2" s="483"/>
      <c r="F2" s="483"/>
      <c r="G2" s="483"/>
      <c r="H2" s="483"/>
    </row>
    <row r="3" spans="2:9" ht="30.75" thickBot="1" x14ac:dyDescent="0.3">
      <c r="B3" s="484" t="s">
        <v>97</v>
      </c>
      <c r="C3" s="484" t="s">
        <v>98</v>
      </c>
      <c r="D3" s="38" t="s">
        <v>99</v>
      </c>
      <c r="E3" s="38" t="s">
        <v>100</v>
      </c>
      <c r="F3" s="38" t="s">
        <v>93</v>
      </c>
      <c r="G3" s="38" t="s">
        <v>101</v>
      </c>
      <c r="H3" s="484" t="s">
        <v>102</v>
      </c>
    </row>
    <row r="4" spans="2:9" ht="15.75" thickBot="1" x14ac:dyDescent="0.3">
      <c r="B4" s="485"/>
      <c r="C4" s="485"/>
      <c r="D4" s="38" t="s">
        <v>103</v>
      </c>
      <c r="E4" s="38" t="s">
        <v>104</v>
      </c>
      <c r="F4" s="38" t="s">
        <v>105</v>
      </c>
      <c r="G4" s="38" t="s">
        <v>106</v>
      </c>
      <c r="H4" s="485"/>
    </row>
    <row r="5" spans="2:9" ht="18" thickBot="1" x14ac:dyDescent="0.3">
      <c r="B5" s="486" t="s">
        <v>107</v>
      </c>
      <c r="C5" s="39" t="s">
        <v>108</v>
      </c>
      <c r="D5" s="40">
        <v>28</v>
      </c>
      <c r="E5" s="40">
        <v>20</v>
      </c>
      <c r="F5" s="40">
        <v>122</v>
      </c>
      <c r="G5" s="40">
        <v>30</v>
      </c>
      <c r="H5" s="40">
        <v>200</v>
      </c>
    </row>
    <row r="6" spans="2:9" ht="15.75" thickBot="1" x14ac:dyDescent="0.3">
      <c r="B6" s="482"/>
      <c r="C6" s="41" t="s">
        <v>109</v>
      </c>
      <c r="D6" s="38">
        <v>25</v>
      </c>
      <c r="E6" s="38">
        <v>19</v>
      </c>
      <c r="F6" s="38">
        <v>112</v>
      </c>
      <c r="G6" s="38">
        <v>26</v>
      </c>
      <c r="H6" s="38">
        <v>182</v>
      </c>
      <c r="I6">
        <f>H6*24</f>
        <v>4368</v>
      </c>
    </row>
    <row r="7" spans="2:9" ht="43.5" thickBot="1" x14ac:dyDescent="0.3">
      <c r="B7" s="42" t="s">
        <v>110</v>
      </c>
      <c r="C7" s="41" t="s">
        <v>111</v>
      </c>
      <c r="D7" s="38">
        <v>880</v>
      </c>
      <c r="E7" s="38">
        <v>965</v>
      </c>
      <c r="F7" s="38">
        <v>920</v>
      </c>
      <c r="G7" s="38">
        <v>870</v>
      </c>
      <c r="H7" s="38">
        <v>911</v>
      </c>
    </row>
    <row r="8" spans="2:9" ht="26.45" customHeight="1" thickBot="1" x14ac:dyDescent="0.3">
      <c r="B8" s="481" t="s">
        <v>112</v>
      </c>
      <c r="C8" s="41" t="s">
        <v>113</v>
      </c>
      <c r="D8" s="38">
        <v>13.5</v>
      </c>
      <c r="E8" s="38">
        <v>10.6</v>
      </c>
      <c r="F8" s="38">
        <v>61.6</v>
      </c>
      <c r="G8" s="38">
        <v>14.3</v>
      </c>
      <c r="H8" s="38">
        <f>D8+E8+F8+G8</f>
        <v>100</v>
      </c>
    </row>
    <row r="9" spans="2:9" ht="15.75" thickBot="1" x14ac:dyDescent="0.3">
      <c r="B9" s="482"/>
      <c r="C9" s="41" t="s">
        <v>114</v>
      </c>
      <c r="D9" s="38">
        <v>14</v>
      </c>
      <c r="E9" s="38">
        <v>10</v>
      </c>
      <c r="F9" s="38">
        <v>61</v>
      </c>
      <c r="G9" s="38">
        <v>15</v>
      </c>
      <c r="H9" s="38">
        <f>D9+E9+F9+G9</f>
        <v>100</v>
      </c>
    </row>
    <row r="10" spans="2:9" ht="15.75" thickBot="1" x14ac:dyDescent="0.3">
      <c r="B10" s="43"/>
      <c r="C10" s="44"/>
      <c r="D10" s="44"/>
      <c r="E10" s="44"/>
      <c r="F10" s="44"/>
      <c r="G10" s="44"/>
      <c r="H10" s="45"/>
    </row>
    <row r="11" spans="2:9" ht="29.25" thickBot="1" x14ac:dyDescent="0.3">
      <c r="B11" s="42" t="s">
        <v>115</v>
      </c>
      <c r="C11" s="46"/>
      <c r="D11" s="47" t="s">
        <v>116</v>
      </c>
      <c r="E11" s="47" t="s">
        <v>117</v>
      </c>
      <c r="F11" s="47" t="s">
        <v>118</v>
      </c>
      <c r="G11" s="47" t="s">
        <v>116</v>
      </c>
      <c r="H11" s="48"/>
    </row>
    <row r="12" spans="2:9" ht="15.75" thickBot="1" x14ac:dyDescent="0.3">
      <c r="B12" s="42"/>
      <c r="C12" s="47"/>
      <c r="D12" s="47" t="s">
        <v>119</v>
      </c>
      <c r="E12" s="47" t="s">
        <v>119</v>
      </c>
      <c r="F12" s="47" t="s">
        <v>119</v>
      </c>
      <c r="G12" s="47" t="s">
        <v>120</v>
      </c>
      <c r="H12" s="48"/>
    </row>
    <row r="13" spans="2:9" ht="29.25" thickBot="1" x14ac:dyDescent="0.3">
      <c r="B13" s="42" t="s">
        <v>121</v>
      </c>
      <c r="C13" s="49" t="s">
        <v>122</v>
      </c>
      <c r="D13" s="47">
        <v>160</v>
      </c>
      <c r="E13" s="47">
        <v>302</v>
      </c>
      <c r="F13" s="47">
        <v>218</v>
      </c>
      <c r="G13" s="47">
        <v>63</v>
      </c>
      <c r="H13" s="48"/>
    </row>
    <row r="14" spans="2:9" ht="17.25" thickBot="1" x14ac:dyDescent="0.3">
      <c r="B14" s="42">
        <v>5</v>
      </c>
      <c r="C14" s="49" t="s">
        <v>123</v>
      </c>
      <c r="D14" s="47">
        <v>205</v>
      </c>
      <c r="E14" s="47">
        <v>371</v>
      </c>
      <c r="F14" s="47">
        <v>283</v>
      </c>
      <c r="G14" s="47">
        <v>112</v>
      </c>
      <c r="H14" s="48"/>
    </row>
    <row r="15" spans="2:9" ht="17.25" thickBot="1" x14ac:dyDescent="0.3">
      <c r="B15" s="42">
        <v>10</v>
      </c>
      <c r="C15" s="49" t="s">
        <v>123</v>
      </c>
      <c r="D15" s="47">
        <v>222</v>
      </c>
      <c r="E15" s="47">
        <v>383</v>
      </c>
      <c r="F15" s="47">
        <v>301</v>
      </c>
      <c r="G15" s="47">
        <v>136</v>
      </c>
      <c r="H15" s="48"/>
    </row>
    <row r="16" spans="2:9" ht="17.25" thickBot="1" x14ac:dyDescent="0.3">
      <c r="B16" s="42">
        <v>20</v>
      </c>
      <c r="C16" s="49" t="s">
        <v>122</v>
      </c>
      <c r="D16" s="47">
        <v>244</v>
      </c>
      <c r="E16" s="47">
        <v>398</v>
      </c>
      <c r="F16" s="47">
        <v>326</v>
      </c>
      <c r="G16" s="47">
        <v>173</v>
      </c>
      <c r="H16" s="48"/>
    </row>
    <row r="17" spans="2:8" ht="17.25" thickBot="1" x14ac:dyDescent="0.3">
      <c r="B17" s="42">
        <v>30</v>
      </c>
      <c r="C17" s="49" t="s">
        <v>123</v>
      </c>
      <c r="D17" s="47">
        <v>259</v>
      </c>
      <c r="E17" s="47">
        <v>411</v>
      </c>
      <c r="F17" s="47">
        <v>347</v>
      </c>
      <c r="G17" s="47">
        <v>214</v>
      </c>
      <c r="H17" s="48"/>
    </row>
    <row r="18" spans="2:8" ht="17.25" thickBot="1" x14ac:dyDescent="0.3">
      <c r="B18" s="42">
        <v>40</v>
      </c>
      <c r="C18" s="49" t="s">
        <v>123</v>
      </c>
      <c r="D18" s="47">
        <v>269</v>
      </c>
      <c r="E18" s="47">
        <v>419</v>
      </c>
      <c r="F18" s="47">
        <v>366</v>
      </c>
      <c r="G18" s="47">
        <v>245</v>
      </c>
      <c r="H18" s="48"/>
    </row>
    <row r="19" spans="2:8" ht="17.25" thickBot="1" x14ac:dyDescent="0.3">
      <c r="B19" s="42">
        <v>50</v>
      </c>
      <c r="C19" s="49" t="s">
        <v>122</v>
      </c>
      <c r="D19" s="47">
        <v>278</v>
      </c>
      <c r="E19" s="47">
        <v>427</v>
      </c>
      <c r="F19" s="47">
        <v>394</v>
      </c>
      <c r="G19" s="47">
        <v>270</v>
      </c>
      <c r="H19" s="50"/>
    </row>
    <row r="20" spans="2:8" ht="17.25" thickBot="1" x14ac:dyDescent="0.3">
      <c r="B20" s="42">
        <v>60</v>
      </c>
      <c r="C20" s="49" t="s">
        <v>123</v>
      </c>
      <c r="D20" s="47">
        <v>287</v>
      </c>
      <c r="E20" s="47">
        <v>437</v>
      </c>
      <c r="F20" s="47">
        <v>420</v>
      </c>
      <c r="G20" s="47">
        <v>294</v>
      </c>
      <c r="H20" s="48"/>
    </row>
    <row r="21" spans="2:8" ht="17.25" thickBot="1" x14ac:dyDescent="0.3">
      <c r="B21" s="42">
        <v>70</v>
      </c>
      <c r="C21" s="49" t="s">
        <v>123</v>
      </c>
      <c r="D21" s="47">
        <v>297</v>
      </c>
      <c r="E21" s="47">
        <v>447</v>
      </c>
      <c r="F21" s="47">
        <v>444</v>
      </c>
      <c r="G21" s="47">
        <v>317</v>
      </c>
      <c r="H21" s="48"/>
    </row>
    <row r="22" spans="2:8" ht="17.25" thickBot="1" x14ac:dyDescent="0.3">
      <c r="B22" s="42">
        <v>80</v>
      </c>
      <c r="C22" s="49" t="s">
        <v>122</v>
      </c>
      <c r="D22" s="47">
        <v>309</v>
      </c>
      <c r="E22" s="47">
        <v>454</v>
      </c>
      <c r="F22" s="47">
        <v>463</v>
      </c>
      <c r="G22" s="47">
        <v>342</v>
      </c>
      <c r="H22" s="48"/>
    </row>
    <row r="23" spans="2:8" ht="17.25" thickBot="1" x14ac:dyDescent="0.3">
      <c r="B23" s="42">
        <v>90</v>
      </c>
      <c r="C23" s="49" t="s">
        <v>122</v>
      </c>
      <c r="D23" s="47">
        <v>329</v>
      </c>
      <c r="E23" s="47">
        <v>466</v>
      </c>
      <c r="F23" s="47">
        <v>488</v>
      </c>
      <c r="G23" s="47">
        <v>369</v>
      </c>
      <c r="H23" s="48"/>
    </row>
    <row r="24" spans="2:8" ht="17.25" thickBot="1" x14ac:dyDescent="0.3">
      <c r="B24" s="42">
        <v>95</v>
      </c>
      <c r="C24" s="49" t="s">
        <v>123</v>
      </c>
      <c r="D24" s="47">
        <v>343</v>
      </c>
      <c r="E24" s="47">
        <v>478</v>
      </c>
      <c r="F24" s="47">
        <v>515</v>
      </c>
      <c r="G24" s="47">
        <v>383</v>
      </c>
      <c r="H24" s="48"/>
    </row>
    <row r="25" spans="2:8" ht="17.25" thickBot="1" x14ac:dyDescent="0.3">
      <c r="B25" s="42" t="s">
        <v>124</v>
      </c>
      <c r="C25" s="49" t="s">
        <v>123</v>
      </c>
      <c r="D25" s="47">
        <v>354</v>
      </c>
      <c r="E25" s="47">
        <v>499</v>
      </c>
      <c r="F25" s="47">
        <v>545</v>
      </c>
      <c r="G25" s="47">
        <v>390</v>
      </c>
      <c r="H25" s="48"/>
    </row>
    <row r="26" spans="2:8" ht="15.75" thickBot="1" x14ac:dyDescent="0.3">
      <c r="B26" s="51" t="s">
        <v>125</v>
      </c>
      <c r="C26" s="47" t="s">
        <v>113</v>
      </c>
      <c r="D26" s="47">
        <v>0.13</v>
      </c>
      <c r="E26" s="47">
        <v>0.35</v>
      </c>
      <c r="F26" s="47">
        <v>0.38</v>
      </c>
      <c r="G26" s="47">
        <v>0.5</v>
      </c>
      <c r="H26" s="47">
        <v>0.36</v>
      </c>
    </row>
    <row r="27" spans="2:8" ht="15.75" thickBot="1" x14ac:dyDescent="0.3">
      <c r="B27" s="51" t="s">
        <v>126</v>
      </c>
      <c r="C27" s="47" t="s">
        <v>127</v>
      </c>
      <c r="D27" s="47">
        <v>75</v>
      </c>
      <c r="E27" s="47">
        <v>450</v>
      </c>
      <c r="F27" s="47">
        <v>500</v>
      </c>
      <c r="G27" s="47">
        <v>1000</v>
      </c>
      <c r="H27" s="47">
        <v>511</v>
      </c>
    </row>
    <row r="28" spans="2:8" ht="29.25" thickBot="1" x14ac:dyDescent="0.3">
      <c r="B28" s="51" t="s">
        <v>128</v>
      </c>
      <c r="C28" s="47" t="s">
        <v>127</v>
      </c>
      <c r="D28" s="47">
        <v>50</v>
      </c>
      <c r="E28" s="47">
        <v>150</v>
      </c>
      <c r="F28" s="47">
        <v>200</v>
      </c>
      <c r="G28" s="47">
        <v>500</v>
      </c>
      <c r="H28" s="47">
        <v>219</v>
      </c>
    </row>
    <row r="29" spans="2:8" ht="15.75" thickBot="1" x14ac:dyDescent="0.3">
      <c r="B29" s="51" t="s">
        <v>129</v>
      </c>
      <c r="C29" s="47" t="s">
        <v>127</v>
      </c>
      <c r="D29" s="47"/>
      <c r="E29" s="47">
        <v>1</v>
      </c>
      <c r="F29" s="47">
        <v>1.5</v>
      </c>
      <c r="G29" s="47">
        <v>0.1</v>
      </c>
      <c r="H29" s="47" t="s">
        <v>130</v>
      </c>
    </row>
    <row r="30" spans="2:8" ht="29.25" thickBot="1" x14ac:dyDescent="0.3">
      <c r="B30" s="51" t="s">
        <v>131</v>
      </c>
      <c r="C30" s="47" t="s">
        <v>127</v>
      </c>
      <c r="D30" s="47"/>
      <c r="E30" s="47">
        <v>1</v>
      </c>
      <c r="F30" s="47">
        <v>1.5</v>
      </c>
      <c r="G30" s="47">
        <v>0.1</v>
      </c>
      <c r="H30" s="47" t="s">
        <v>130</v>
      </c>
    </row>
    <row r="31" spans="2:8" ht="29.25" thickBot="1" x14ac:dyDescent="0.3">
      <c r="B31" s="51" t="s">
        <v>132</v>
      </c>
      <c r="C31" s="47" t="s">
        <v>127</v>
      </c>
      <c r="D31" s="47"/>
      <c r="E31" s="47"/>
      <c r="F31" s="47">
        <v>2</v>
      </c>
      <c r="G31" s="47">
        <v>1.3</v>
      </c>
      <c r="H31" s="47" t="s">
        <v>133</v>
      </c>
    </row>
    <row r="32" spans="2:8" x14ac:dyDescent="0.25">
      <c r="B32" s="4"/>
      <c r="C32" s="4"/>
      <c r="D32" s="4"/>
      <c r="E32" s="4"/>
      <c r="F32" s="4"/>
      <c r="G32" s="4"/>
      <c r="H32" s="4"/>
    </row>
    <row r="33" spans="2:8" ht="15.75" thickBot="1" x14ac:dyDescent="0.3">
      <c r="B33" s="483" t="s">
        <v>134</v>
      </c>
      <c r="C33" s="483"/>
      <c r="D33" s="483"/>
      <c r="E33" s="483"/>
      <c r="F33" s="483"/>
      <c r="G33" s="483"/>
      <c r="H33" s="483"/>
    </row>
    <row r="34" spans="2:8" ht="30.75" thickBot="1" x14ac:dyDescent="0.3">
      <c r="B34" s="484" t="s">
        <v>97</v>
      </c>
      <c r="C34" s="484" t="s">
        <v>98</v>
      </c>
      <c r="D34" s="38" t="s">
        <v>99</v>
      </c>
      <c r="E34" s="38" t="s">
        <v>100</v>
      </c>
      <c r="F34" s="38" t="s">
        <v>93</v>
      </c>
      <c r="G34" s="38" t="s">
        <v>101</v>
      </c>
      <c r="H34" s="484" t="s">
        <v>135</v>
      </c>
    </row>
    <row r="35" spans="2:8" ht="15.75" thickBot="1" x14ac:dyDescent="0.3">
      <c r="B35" s="485"/>
      <c r="C35" s="485"/>
      <c r="D35" s="38" t="s">
        <v>103</v>
      </c>
      <c r="E35" s="38" t="s">
        <v>104</v>
      </c>
      <c r="F35" s="38" t="s">
        <v>105</v>
      </c>
      <c r="G35" s="38" t="s">
        <v>106</v>
      </c>
      <c r="H35" s="485"/>
    </row>
    <row r="36" spans="2:8" ht="17.25" thickBot="1" x14ac:dyDescent="0.3">
      <c r="B36" s="486" t="s">
        <v>107</v>
      </c>
      <c r="C36" s="52" t="s">
        <v>136</v>
      </c>
      <c r="D36" s="53">
        <v>0</v>
      </c>
      <c r="E36" s="53">
        <v>20</v>
      </c>
      <c r="F36" s="53">
        <v>150</v>
      </c>
      <c r="G36" s="53">
        <v>30</v>
      </c>
      <c r="H36" s="53">
        <v>200</v>
      </c>
    </row>
    <row r="37" spans="2:8" ht="15.75" thickBot="1" x14ac:dyDescent="0.3">
      <c r="B37" s="482"/>
      <c r="C37" s="46" t="s">
        <v>109</v>
      </c>
      <c r="D37" s="47">
        <v>0</v>
      </c>
      <c r="E37" s="38">
        <v>19</v>
      </c>
      <c r="F37" s="38">
        <v>138</v>
      </c>
      <c r="G37" s="38">
        <v>26</v>
      </c>
      <c r="H37" s="47">
        <v>183</v>
      </c>
    </row>
    <row r="38" spans="2:8" ht="43.5" thickBot="1" x14ac:dyDescent="0.3">
      <c r="B38" s="42" t="s">
        <v>110</v>
      </c>
      <c r="C38" s="46" t="s">
        <v>111</v>
      </c>
      <c r="D38" s="38">
        <v>890</v>
      </c>
      <c r="E38" s="38">
        <v>965</v>
      </c>
      <c r="F38" s="38">
        <v>920</v>
      </c>
      <c r="G38" s="38">
        <v>870</v>
      </c>
      <c r="H38" s="38">
        <v>917</v>
      </c>
    </row>
    <row r="39" spans="2:8" ht="26.45" customHeight="1" thickBot="1" x14ac:dyDescent="0.3">
      <c r="B39" s="481" t="s">
        <v>112</v>
      </c>
      <c r="C39" s="46" t="s">
        <v>113</v>
      </c>
      <c r="D39" s="38">
        <v>0</v>
      </c>
      <c r="E39" s="38">
        <v>10.5</v>
      </c>
      <c r="F39" s="38">
        <v>75.3</v>
      </c>
      <c r="G39" s="38">
        <v>14.2</v>
      </c>
      <c r="H39" s="38">
        <v>100</v>
      </c>
    </row>
    <row r="40" spans="2:8" ht="15.75" thickBot="1" x14ac:dyDescent="0.3">
      <c r="B40" s="482"/>
      <c r="C40" s="46" t="s">
        <v>114</v>
      </c>
      <c r="D40" s="38">
        <v>0</v>
      </c>
      <c r="E40" s="38">
        <v>10</v>
      </c>
      <c r="F40" s="38">
        <v>75</v>
      </c>
      <c r="G40" s="38">
        <v>15</v>
      </c>
      <c r="H40" s="38">
        <v>100</v>
      </c>
    </row>
  </sheetData>
  <mergeCells count="12">
    <mergeCell ref="B39:B40"/>
    <mergeCell ref="B2:H2"/>
    <mergeCell ref="B3:B4"/>
    <mergeCell ref="C3:C4"/>
    <mergeCell ref="H3:H4"/>
    <mergeCell ref="B5:B6"/>
    <mergeCell ref="B8:B9"/>
    <mergeCell ref="B33:H33"/>
    <mergeCell ref="B34:B35"/>
    <mergeCell ref="C34:C35"/>
    <mergeCell ref="H34:H35"/>
    <mergeCell ref="B36:B37"/>
  </mergeCells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17"/>
  <sheetViews>
    <sheetView workbookViewId="0">
      <selection activeCell="F3" sqref="F3"/>
    </sheetView>
  </sheetViews>
  <sheetFormatPr defaultRowHeight="15" x14ac:dyDescent="0.25"/>
  <sheetData>
    <row r="3" spans="4:10" x14ac:dyDescent="0.25">
      <c r="D3" t="s">
        <v>187</v>
      </c>
      <c r="F3">
        <v>66</v>
      </c>
      <c r="G3">
        <f>F3*1.75%</f>
        <v>1.155</v>
      </c>
      <c r="H3">
        <f>G3*6</f>
        <v>6.93</v>
      </c>
      <c r="I3">
        <f>F3-H3</f>
        <v>59.07</v>
      </c>
    </row>
    <row r="4" spans="4:10" x14ac:dyDescent="0.25">
      <c r="D4" t="s">
        <v>185</v>
      </c>
      <c r="E4">
        <v>1.75</v>
      </c>
      <c r="F4" s="191">
        <f>F3*(100-E4)%</f>
        <v>64.844999999999999</v>
      </c>
    </row>
    <row r="5" spans="4:10" x14ac:dyDescent="0.25">
      <c r="D5" t="s">
        <v>181</v>
      </c>
      <c r="E5">
        <v>1.75</v>
      </c>
      <c r="F5" s="191">
        <f>F4*(100-E5)%</f>
        <v>63.710212500000004</v>
      </c>
      <c r="G5" s="191">
        <f>67-E5</f>
        <v>65.25</v>
      </c>
    </row>
    <row r="6" spans="4:10" x14ac:dyDescent="0.25">
      <c r="D6" t="s">
        <v>182</v>
      </c>
      <c r="E6">
        <v>1.75</v>
      </c>
      <c r="F6" s="191">
        <f t="shared" ref="F6:F9" si="0">F5*(100-E6)%</f>
        <v>62.595283781250004</v>
      </c>
      <c r="G6" s="191">
        <f>G5-E6</f>
        <v>63.5</v>
      </c>
    </row>
    <row r="7" spans="4:10" x14ac:dyDescent="0.25">
      <c r="D7" t="s">
        <v>183</v>
      </c>
      <c r="E7">
        <v>1.75</v>
      </c>
      <c r="F7" s="191">
        <f t="shared" si="0"/>
        <v>61.49986631507813</v>
      </c>
      <c r="G7" s="191">
        <f t="shared" ref="G7:G9" si="1">G6-E7</f>
        <v>61.75</v>
      </c>
    </row>
    <row r="8" spans="4:10" x14ac:dyDescent="0.25">
      <c r="D8" t="s">
        <v>184</v>
      </c>
      <c r="E8">
        <v>1.75</v>
      </c>
      <c r="F8" s="191">
        <f t="shared" si="0"/>
        <v>60.423618654564265</v>
      </c>
      <c r="G8" s="191">
        <f t="shared" si="1"/>
        <v>60</v>
      </c>
      <c r="J8">
        <f>F3-H3</f>
        <v>59.07</v>
      </c>
    </row>
    <row r="9" spans="4:10" x14ac:dyDescent="0.25">
      <c r="D9" t="s">
        <v>186</v>
      </c>
      <c r="E9">
        <v>1.75</v>
      </c>
      <c r="F9" s="191">
        <f t="shared" si="0"/>
        <v>59.366205328109395</v>
      </c>
      <c r="G9" s="191">
        <f t="shared" si="1"/>
        <v>58.25</v>
      </c>
    </row>
    <row r="12" spans="4:10" x14ac:dyDescent="0.25">
      <c r="D12" t="s">
        <v>185</v>
      </c>
      <c r="F12">
        <v>80</v>
      </c>
    </row>
    <row r="13" spans="4:10" x14ac:dyDescent="0.25">
      <c r="D13" t="s">
        <v>181</v>
      </c>
      <c r="E13">
        <v>3</v>
      </c>
      <c r="F13" s="191">
        <f>F12*(100-E13)%</f>
        <v>77.599999999999994</v>
      </c>
      <c r="G13" s="191">
        <f>67-E13</f>
        <v>64</v>
      </c>
    </row>
    <row r="14" spans="4:10" x14ac:dyDescent="0.25">
      <c r="D14" t="s">
        <v>182</v>
      </c>
      <c r="E14">
        <v>3</v>
      </c>
      <c r="F14" s="191">
        <f t="shared" ref="F14:F17" si="2">F13*(100-E14)%</f>
        <v>75.271999999999991</v>
      </c>
      <c r="G14" s="191">
        <f>G13-E14</f>
        <v>61</v>
      </c>
    </row>
    <row r="15" spans="4:10" x14ac:dyDescent="0.25">
      <c r="D15" t="s">
        <v>183</v>
      </c>
      <c r="E15">
        <v>3</v>
      </c>
      <c r="F15" s="191">
        <f t="shared" si="2"/>
        <v>73.013839999999988</v>
      </c>
      <c r="G15" s="191">
        <f t="shared" ref="G15:G17" si="3">G14-E15</f>
        <v>58</v>
      </c>
    </row>
    <row r="16" spans="4:10" x14ac:dyDescent="0.25">
      <c r="D16" t="s">
        <v>184</v>
      </c>
      <c r="E16">
        <v>3</v>
      </c>
      <c r="F16" s="191">
        <f t="shared" si="2"/>
        <v>70.823424799999984</v>
      </c>
      <c r="G16" s="191">
        <f t="shared" si="3"/>
        <v>55</v>
      </c>
    </row>
    <row r="17" spans="4:7" x14ac:dyDescent="0.25">
      <c r="D17" t="s">
        <v>186</v>
      </c>
      <c r="E17">
        <v>3</v>
      </c>
      <c r="F17" s="191">
        <f t="shared" si="2"/>
        <v>68.69872205599998</v>
      </c>
      <c r="G17" s="191">
        <f t="shared" si="3"/>
        <v>52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Sheet1</vt:lpstr>
      <vt:lpstr>NVA new</vt:lpstr>
      <vt:lpstr>Sheet5</vt:lpstr>
      <vt:lpstr>Sheet6</vt:lpstr>
      <vt:lpstr>NVA n</vt:lpstr>
      <vt:lpstr>Sheet2</vt:lpstr>
      <vt:lpstr>price</vt:lpstr>
      <vt:lpstr>feed</vt:lpstr>
      <vt:lpstr>Sheet4</vt:lpstr>
      <vt:lpstr>NVA o </vt:lpstr>
      <vt:lpstr>NVA HTAS</vt:lpstr>
      <vt:lpstr>NVA UOP</vt:lpstr>
      <vt:lpstr>NVA ART</vt:lpstr>
      <vt:lpstr>Sheet3</vt:lpstr>
      <vt:lpstr>SOS&amp;W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z_bidyut</dc:creator>
  <cp:lastModifiedBy>Champak Das [चम्पक दास]</cp:lastModifiedBy>
  <cp:lastPrinted>2019-03-25T11:27:56Z</cp:lastPrinted>
  <dcterms:created xsi:type="dcterms:W3CDTF">2018-09-13T02:39:03Z</dcterms:created>
  <dcterms:modified xsi:type="dcterms:W3CDTF">2019-03-27T05:18:32Z</dcterms:modified>
</cp:coreProperties>
</file>