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330" yWindow="-75" windowWidth="11100" windowHeight="8160" tabRatio="722" firstSheet="5" activeTab="5"/>
  </bookViews>
  <sheets>
    <sheet name="Sector list" sheetId="12" state="hidden" r:id="rId1"/>
    <sheet name="Sector details-upto feb" sheetId="13" state="hidden" r:id="rId2"/>
    <sheet name="Sector details-upto 31 mar" sheetId="16" state="hidden" r:id="rId3"/>
    <sheet name="expected exp" sheetId="14" state="hidden" r:id="rId4"/>
    <sheet name="PMO details" sheetId="15" state="hidden" r:id="rId5"/>
    <sheet name="Q1 exp." sheetId="35" r:id="rId6"/>
  </sheets>
  <definedNames>
    <definedName name="_xlnm._FilterDatabase" localSheetId="2" hidden="1">'Sector details-upto 31 mar'!$A$3:$Q$334</definedName>
    <definedName name="_xlnm._FilterDatabase" localSheetId="1" hidden="1">'Sector details-upto feb'!$A$3:$Q$285</definedName>
    <definedName name="_xlnm._FilterDatabase" localSheetId="0" hidden="1">'Sector list'!$B$1:$C$1</definedName>
    <definedName name="_xlnm.Print_Area" localSheetId="5">'Q1 exp.'!$A$1:$E$69</definedName>
  </definedNames>
  <calcPr calcId="145621"/>
</workbook>
</file>

<file path=xl/calcChain.xml><?xml version="1.0" encoding="utf-8"?>
<calcChain xmlns="http://schemas.openxmlformats.org/spreadsheetml/2006/main">
  <c r="E45" i="35" l="1"/>
  <c r="D32" i="35" l="1"/>
  <c r="E59" i="35"/>
  <c r="D40" i="35" l="1"/>
  <c r="D31" i="35" l="1"/>
  <c r="D55" i="35" l="1"/>
  <c r="D49" i="35"/>
  <c r="D45" i="35"/>
  <c r="D9" i="35" l="1"/>
  <c r="D4" i="35"/>
  <c r="D67" i="35"/>
  <c r="D64" i="35"/>
  <c r="E38" i="35"/>
  <c r="D65" i="35"/>
  <c r="D38" i="35"/>
  <c r="G23" i="35" l="1"/>
  <c r="E31" i="35" l="1"/>
  <c r="D29" i="35"/>
  <c r="D28" i="35"/>
  <c r="D69" i="35" l="1"/>
  <c r="E68" i="35"/>
  <c r="E64" i="35"/>
  <c r="E53" i="35"/>
  <c r="E49" i="35"/>
  <c r="E17" i="35"/>
  <c r="E16" i="35"/>
  <c r="E15" i="35"/>
  <c r="E10" i="35"/>
  <c r="E4" i="35"/>
  <c r="E69" i="35" l="1"/>
  <c r="L332" i="16" l="1"/>
  <c r="L143" i="16"/>
  <c r="L233" i="16"/>
  <c r="L171" i="16" l="1"/>
  <c r="L85" i="16"/>
  <c r="L237" i="16"/>
  <c r="L83" i="16" l="1"/>
  <c r="L98" i="16"/>
  <c r="Q79" i="16"/>
  <c r="L64" i="16"/>
  <c r="I188" i="16"/>
  <c r="M278" i="16"/>
  <c r="M331" i="16" l="1"/>
  <c r="M324" i="16"/>
  <c r="M316" i="16"/>
  <c r="N316" i="16" s="1"/>
  <c r="M315" i="16"/>
  <c r="N315" i="16" s="1"/>
  <c r="M201" i="16"/>
  <c r="I293" i="16"/>
  <c r="L293" i="16"/>
  <c r="M295" i="16"/>
  <c r="N295" i="16" s="1"/>
  <c r="I295" i="16"/>
  <c r="M293" i="16" l="1"/>
  <c r="N293" i="16" s="1"/>
  <c r="L310" i="16" l="1"/>
  <c r="L305" i="16"/>
  <c r="M302" i="16"/>
  <c r="N302" i="16" s="1"/>
  <c r="L304" i="16"/>
  <c r="L229" i="16"/>
  <c r="I193" i="16"/>
  <c r="L193" i="16"/>
  <c r="L270" i="16"/>
  <c r="I175" i="16"/>
  <c r="L175" i="16"/>
  <c r="L231" i="16"/>
  <c r="M283" i="16"/>
  <c r="L273" i="16" l="1"/>
  <c r="L276" i="16"/>
  <c r="L267" i="16"/>
  <c r="L238" i="16"/>
  <c r="L197" i="16" l="1"/>
  <c r="K399" i="16"/>
  <c r="L399" i="16" s="1"/>
  <c r="K398" i="16"/>
  <c r="L398" i="16" s="1"/>
  <c r="L397" i="16"/>
  <c r="K396" i="16"/>
  <c r="L396" i="16" s="1"/>
  <c r="L394" i="16"/>
  <c r="L392" i="16"/>
  <c r="L391" i="16"/>
  <c r="L390" i="16"/>
  <c r="L389" i="16"/>
  <c r="L388" i="16"/>
  <c r="L387" i="16"/>
  <c r="L386" i="16"/>
  <c r="L385" i="16"/>
  <c r="L384" i="16"/>
  <c r="K383" i="16"/>
  <c r="K380" i="16"/>
  <c r="L379" i="16"/>
  <c r="I378" i="16"/>
  <c r="J377" i="16"/>
  <c r="M216" i="16"/>
  <c r="J376" i="16"/>
  <c r="J375" i="16"/>
  <c r="M374" i="16"/>
  <c r="I374" i="16"/>
  <c r="L373" i="16"/>
  <c r="L372" i="16"/>
  <c r="M372" i="16" s="1"/>
  <c r="M371" i="16"/>
  <c r="L370" i="16"/>
  <c r="M369" i="16"/>
  <c r="L368" i="16"/>
  <c r="L367" i="16"/>
  <c r="L366" i="16"/>
  <c r="M366" i="16" s="1"/>
  <c r="L365" i="16"/>
  <c r="M365" i="16" s="1"/>
  <c r="L364" i="16"/>
  <c r="L226" i="16"/>
  <c r="L208" i="16"/>
  <c r="L218" i="16"/>
  <c r="M182" i="16"/>
  <c r="L212" i="16"/>
  <c r="L203" i="16"/>
  <c r="L185" i="16"/>
  <c r="L59" i="16"/>
  <c r="M59" i="16" s="1"/>
  <c r="L189" i="16"/>
  <c r="L190" i="16"/>
  <c r="L181" i="16" l="1"/>
  <c r="L159" i="16"/>
  <c r="L124" i="16"/>
  <c r="L170" i="16"/>
  <c r="L126" i="16"/>
  <c r="L133" i="16"/>
  <c r="L115" i="16"/>
  <c r="L132" i="16"/>
  <c r="L129" i="16"/>
  <c r="L166" i="16"/>
  <c r="L118" i="16"/>
  <c r="M137" i="16"/>
  <c r="M136" i="16"/>
  <c r="L125" i="16"/>
  <c r="L112" i="16"/>
  <c r="L153" i="16"/>
  <c r="L114" i="16"/>
  <c r="L142" i="16"/>
  <c r="L20" i="16"/>
  <c r="L173" i="16"/>
  <c r="L96" i="16"/>
  <c r="L116" i="16"/>
  <c r="L97" i="16"/>
  <c r="L127" i="16"/>
  <c r="L235" i="16"/>
  <c r="L8" i="16"/>
  <c r="L31" i="16"/>
  <c r="L29" i="16"/>
  <c r="L9" i="16"/>
  <c r="L45" i="16"/>
  <c r="L6" i="16"/>
  <c r="L46" i="16"/>
  <c r="L61" i="16"/>
  <c r="L73" i="16"/>
  <c r="I73" i="16"/>
  <c r="M63" i="16"/>
  <c r="M64" i="16" l="1"/>
  <c r="N64" i="16" s="1"/>
  <c r="L4" i="16"/>
  <c r="M4" i="16" s="1"/>
  <c r="N4" i="16" s="1"/>
  <c r="L48" i="16"/>
  <c r="M48" i="16" s="1"/>
  <c r="L80" i="16"/>
  <c r="M80" i="16" s="1"/>
  <c r="L33" i="16"/>
  <c r="M33" i="16" s="1"/>
  <c r="L54" i="16"/>
  <c r="M54" i="16" s="1"/>
  <c r="N54" i="16" s="1"/>
  <c r="L19" i="16"/>
  <c r="M19" i="16" s="1"/>
  <c r="M359" i="16"/>
  <c r="I359" i="16"/>
  <c r="N331" i="16"/>
  <c r="I331" i="16"/>
  <c r="M330" i="16"/>
  <c r="I330" i="16"/>
  <c r="M314" i="16"/>
  <c r="N314" i="16" s="1"/>
  <c r="I314" i="16"/>
  <c r="M358" i="16"/>
  <c r="I358" i="16"/>
  <c r="M294" i="16"/>
  <c r="N294" i="16" s="1"/>
  <c r="I294" i="16"/>
  <c r="M357" i="16"/>
  <c r="N357" i="16" s="1"/>
  <c r="I357" i="16"/>
  <c r="M356" i="16"/>
  <c r="N356" i="16" s="1"/>
  <c r="I356" i="16"/>
  <c r="M355" i="16"/>
  <c r="I355" i="16"/>
  <c r="I284" i="16"/>
  <c r="M284" i="16" s="1"/>
  <c r="I238" i="16"/>
  <c r="M238" i="16" s="1"/>
  <c r="I232" i="16"/>
  <c r="M232" i="16" s="1"/>
  <c r="N232" i="16" s="1"/>
  <c r="M178" i="16"/>
  <c r="I178" i="16"/>
  <c r="M354" i="16"/>
  <c r="I354" i="16"/>
  <c r="M353" i="16"/>
  <c r="I353" i="16"/>
  <c r="M352" i="16"/>
  <c r="I352" i="16"/>
  <c r="M351" i="16"/>
  <c r="I351" i="16"/>
  <c r="I279" i="16"/>
  <c r="M279" i="16" s="1"/>
  <c r="N279" i="16" s="1"/>
  <c r="I187" i="16"/>
  <c r="M187" i="16" s="1"/>
  <c r="N187" i="16" s="1"/>
  <c r="M350" i="16"/>
  <c r="I350" i="16"/>
  <c r="M200" i="16"/>
  <c r="I200" i="16"/>
  <c r="M349" i="16"/>
  <c r="I349" i="16"/>
  <c r="M177" i="16"/>
  <c r="I177" i="16"/>
  <c r="M134" i="16"/>
  <c r="I134" i="16"/>
  <c r="M348" i="16"/>
  <c r="N348" i="16" s="1"/>
  <c r="I348" i="16"/>
  <c r="M162" i="16"/>
  <c r="N162" i="16" s="1"/>
  <c r="I162" i="16"/>
  <c r="M169" i="16"/>
  <c r="N169" i="16" s="1"/>
  <c r="I169" i="16"/>
  <c r="M168" i="16"/>
  <c r="N168" i="16" s="1"/>
  <c r="I168" i="16"/>
  <c r="M147" i="16"/>
  <c r="N147" i="16" s="1"/>
  <c r="I147" i="16"/>
  <c r="M138" i="16"/>
  <c r="I138" i="16"/>
  <c r="M149" i="16"/>
  <c r="I149" i="16"/>
  <c r="M347" i="16"/>
  <c r="I347" i="16"/>
  <c r="M139" i="16"/>
  <c r="I139" i="16"/>
  <c r="M140" i="16"/>
  <c r="I140" i="16"/>
  <c r="M346" i="16"/>
  <c r="I346" i="16"/>
  <c r="M148" i="16"/>
  <c r="I148" i="16"/>
  <c r="M170" i="16"/>
  <c r="N170" i="16" s="1"/>
  <c r="I170" i="16"/>
  <c r="M345" i="16"/>
  <c r="I345" i="16"/>
  <c r="M344" i="16"/>
  <c r="I344" i="16"/>
  <c r="M163" i="16"/>
  <c r="I163" i="16"/>
  <c r="M135" i="16"/>
  <c r="I135" i="16"/>
  <c r="Q343" i="16"/>
  <c r="M343" i="16"/>
  <c r="N343" i="16" s="1"/>
  <c r="I343" i="16"/>
  <c r="Q342" i="16"/>
  <c r="M342" i="16"/>
  <c r="N342" i="16" s="1"/>
  <c r="I342" i="16"/>
  <c r="Q341" i="16"/>
  <c r="M341" i="16"/>
  <c r="I341" i="16"/>
  <c r="Q340" i="16"/>
  <c r="M340" i="16"/>
  <c r="I340" i="16"/>
  <c r="I217" i="16"/>
  <c r="I19" i="16"/>
  <c r="Q339" i="16"/>
  <c r="M339" i="16"/>
  <c r="I339" i="16"/>
  <c r="M329" i="16"/>
  <c r="N329" i="16" s="1"/>
  <c r="I329" i="16"/>
  <c r="M328" i="16"/>
  <c r="N328" i="16" s="1"/>
  <c r="I328" i="16"/>
  <c r="L327" i="16"/>
  <c r="M327" i="16" s="1"/>
  <c r="N327" i="16" s="1"/>
  <c r="K327" i="16"/>
  <c r="I327" i="16"/>
  <c r="M326" i="16"/>
  <c r="N326" i="16" s="1"/>
  <c r="I326" i="16"/>
  <c r="M325" i="16"/>
  <c r="N325" i="16" s="1"/>
  <c r="I325" i="16"/>
  <c r="L323" i="16"/>
  <c r="M323" i="16" s="1"/>
  <c r="I323" i="16"/>
  <c r="M322" i="16"/>
  <c r="N322" i="16" s="1"/>
  <c r="I322" i="16"/>
  <c r="J321" i="16"/>
  <c r="I321" i="16" s="1"/>
  <c r="L320" i="16"/>
  <c r="M320" i="16" s="1"/>
  <c r="N320" i="16" s="1"/>
  <c r="K320" i="16"/>
  <c r="I320" i="16"/>
  <c r="L319" i="16"/>
  <c r="M319" i="16" s="1"/>
  <c r="N319" i="16" s="1"/>
  <c r="K319" i="16"/>
  <c r="I319" i="16"/>
  <c r="L318" i="16"/>
  <c r="M318" i="16" s="1"/>
  <c r="N318" i="16" s="1"/>
  <c r="K318" i="16"/>
  <c r="I318" i="16"/>
  <c r="M317" i="16"/>
  <c r="N317" i="16" s="1"/>
  <c r="I317" i="16"/>
  <c r="M313" i="16"/>
  <c r="I313" i="16"/>
  <c r="M312" i="16"/>
  <c r="N312" i="16" s="1"/>
  <c r="I312" i="16"/>
  <c r="M311" i="16"/>
  <c r="N311" i="16" s="1"/>
  <c r="I311" i="16"/>
  <c r="M310" i="16"/>
  <c r="N310" i="16" s="1"/>
  <c r="K310" i="16"/>
  <c r="I310" i="16"/>
  <c r="L309" i="16"/>
  <c r="M309" i="16" s="1"/>
  <c r="N309" i="16" s="1"/>
  <c r="K309" i="16"/>
  <c r="I309" i="16"/>
  <c r="L308" i="16"/>
  <c r="M308" i="16" s="1"/>
  <c r="N308" i="16" s="1"/>
  <c r="K308" i="16"/>
  <c r="I308" i="16"/>
  <c r="M307" i="16"/>
  <c r="N307" i="16" s="1"/>
  <c r="I307" i="16"/>
  <c r="L306" i="16"/>
  <c r="M306" i="16" s="1"/>
  <c r="N306" i="16" s="1"/>
  <c r="K306" i="16"/>
  <c r="I306" i="16"/>
  <c r="M305" i="16"/>
  <c r="N305" i="16" s="1"/>
  <c r="I305" i="16"/>
  <c r="M304" i="16"/>
  <c r="N304" i="16" s="1"/>
  <c r="I304" i="16"/>
  <c r="L303" i="16"/>
  <c r="K303" i="16"/>
  <c r="M303" i="16" s="1"/>
  <c r="N303" i="16" s="1"/>
  <c r="I303" i="16"/>
  <c r="M301" i="16"/>
  <c r="N301" i="16" s="1"/>
  <c r="I301" i="16"/>
  <c r="M300" i="16"/>
  <c r="N300" i="16" s="1"/>
  <c r="I300" i="16"/>
  <c r="L299" i="16"/>
  <c r="M299" i="16" s="1"/>
  <c r="N299" i="16" s="1"/>
  <c r="K299" i="16"/>
  <c r="I299" i="16"/>
  <c r="L298" i="16"/>
  <c r="M298" i="16" s="1"/>
  <c r="K298" i="16"/>
  <c r="I298" i="16"/>
  <c r="L297" i="16"/>
  <c r="M297" i="16" s="1"/>
  <c r="N297" i="16" s="1"/>
  <c r="K297" i="16"/>
  <c r="I297" i="16"/>
  <c r="L296" i="16"/>
  <c r="M296" i="16" s="1"/>
  <c r="N296" i="16" s="1"/>
  <c r="K296" i="16"/>
  <c r="I296" i="16"/>
  <c r="M292" i="16"/>
  <c r="N292" i="16" s="1"/>
  <c r="I292" i="16"/>
  <c r="L291" i="16"/>
  <c r="M291" i="16" s="1"/>
  <c r="N291" i="16" s="1"/>
  <c r="I291" i="16"/>
  <c r="M290" i="16"/>
  <c r="N290" i="16" s="1"/>
  <c r="I290" i="16"/>
  <c r="M289" i="16"/>
  <c r="N289" i="16" s="1"/>
  <c r="I289" i="16"/>
  <c r="M288" i="16"/>
  <c r="N288" i="16" s="1"/>
  <c r="I288" i="16"/>
  <c r="M287" i="16"/>
  <c r="N287" i="16" s="1"/>
  <c r="I287" i="16"/>
  <c r="L286" i="16"/>
  <c r="M286" i="16" s="1"/>
  <c r="N286" i="16" s="1"/>
  <c r="K286" i="16"/>
  <c r="I286" i="16"/>
  <c r="L282" i="16"/>
  <c r="K282" i="16"/>
  <c r="M282" i="16" s="1"/>
  <c r="N282" i="16" s="1"/>
  <c r="I282" i="16"/>
  <c r="M281" i="16"/>
  <c r="N281" i="16" s="1"/>
  <c r="I281" i="16"/>
  <c r="M280" i="16"/>
  <c r="N280" i="16" s="1"/>
  <c r="L280" i="16"/>
  <c r="I280" i="16"/>
  <c r="N278" i="16"/>
  <c r="H278" i="16"/>
  <c r="I276" i="16"/>
  <c r="M276" i="16" s="1"/>
  <c r="M275" i="16"/>
  <c r="N275" i="16" s="1"/>
  <c r="I275" i="16"/>
  <c r="M274" i="16"/>
  <c r="N274" i="16" s="1"/>
  <c r="I274" i="16"/>
  <c r="I273" i="16"/>
  <c r="M273" i="16" s="1"/>
  <c r="N273" i="16" s="1"/>
  <c r="M272" i="16"/>
  <c r="N272" i="16" s="1"/>
  <c r="I272" i="16"/>
  <c r="K270" i="16"/>
  <c r="M270" i="16" s="1"/>
  <c r="N270" i="16" s="1"/>
  <c r="I270" i="16"/>
  <c r="M269" i="16"/>
  <c r="N269" i="16" s="1"/>
  <c r="I269" i="16"/>
  <c r="M268" i="16"/>
  <c r="N268" i="16" s="1"/>
  <c r="I268" i="16"/>
  <c r="M267" i="16"/>
  <c r="N267" i="16" s="1"/>
  <c r="I267" i="16"/>
  <c r="I266" i="16"/>
  <c r="M265" i="16"/>
  <c r="N265" i="16" s="1"/>
  <c r="I265" i="16"/>
  <c r="M264" i="16"/>
  <c r="N264" i="16" s="1"/>
  <c r="I264" i="16"/>
  <c r="L263" i="16"/>
  <c r="K263" i="16"/>
  <c r="M263" i="16" s="1"/>
  <c r="N263" i="16" s="1"/>
  <c r="I263" i="16"/>
  <c r="M262" i="16"/>
  <c r="N262" i="16" s="1"/>
  <c r="I262" i="16"/>
  <c r="L261" i="16"/>
  <c r="K261" i="16"/>
  <c r="M261" i="16" s="1"/>
  <c r="I261" i="16"/>
  <c r="L260" i="16"/>
  <c r="K260" i="16"/>
  <c r="M260" i="16" s="1"/>
  <c r="I260" i="16"/>
  <c r="M259" i="16"/>
  <c r="N259" i="16" s="1"/>
  <c r="I259" i="16"/>
  <c r="M258" i="16"/>
  <c r="N258" i="16" s="1"/>
  <c r="I258" i="16"/>
  <c r="N257" i="16"/>
  <c r="I257" i="16"/>
  <c r="M256" i="16"/>
  <c r="N256" i="16" s="1"/>
  <c r="I256" i="16"/>
  <c r="M255" i="16"/>
  <c r="N255" i="16" s="1"/>
  <c r="I255" i="16"/>
  <c r="M254" i="16"/>
  <c r="N254" i="16" s="1"/>
  <c r="I254" i="16"/>
  <c r="L253" i="16"/>
  <c r="I253" i="16"/>
  <c r="M252" i="16"/>
  <c r="N252" i="16" s="1"/>
  <c r="I252" i="16"/>
  <c r="M251" i="16"/>
  <c r="I251" i="16"/>
  <c r="M250" i="16"/>
  <c r="I250" i="16"/>
  <c r="L249" i="16"/>
  <c r="K249" i="16"/>
  <c r="M249" i="16" s="1"/>
  <c r="I249" i="16"/>
  <c r="L248" i="16"/>
  <c r="K248" i="16"/>
  <c r="M248" i="16" s="1"/>
  <c r="I248" i="16"/>
  <c r="L247" i="16"/>
  <c r="K247" i="16"/>
  <c r="M247" i="16" s="1"/>
  <c r="I247" i="16"/>
  <c r="N246" i="16"/>
  <c r="I246" i="16"/>
  <c r="N245" i="16"/>
  <c r="I245" i="16"/>
  <c r="M244" i="16"/>
  <c r="N244" i="16" s="1"/>
  <c r="I244" i="16"/>
  <c r="M243" i="16"/>
  <c r="N243" i="16" s="1"/>
  <c r="I243" i="16"/>
  <c r="M242" i="16"/>
  <c r="I242" i="16"/>
  <c r="M241" i="16"/>
  <c r="N241" i="16" s="1"/>
  <c r="L241" i="16"/>
  <c r="I241" i="16"/>
  <c r="M240" i="16"/>
  <c r="I240" i="16"/>
  <c r="M239" i="16"/>
  <c r="L239" i="16"/>
  <c r="I239" i="16"/>
  <c r="M237" i="16"/>
  <c r="I237" i="16"/>
  <c r="M236" i="16"/>
  <c r="I236" i="16"/>
  <c r="Q235" i="16"/>
  <c r="M235" i="16"/>
  <c r="I235" i="16"/>
  <c r="M234" i="16"/>
  <c r="N234" i="16" s="1"/>
  <c r="I234" i="16"/>
  <c r="K231" i="16"/>
  <c r="I231" i="16"/>
  <c r="M231" i="16" s="1"/>
  <c r="L230" i="16"/>
  <c r="K230" i="16"/>
  <c r="H230" i="16"/>
  <c r="I230" i="16" s="1"/>
  <c r="K229" i="16"/>
  <c r="I229" i="16"/>
  <c r="M229" i="16" s="1"/>
  <c r="L228" i="16"/>
  <c r="K228" i="16"/>
  <c r="M228" i="16" s="1"/>
  <c r="I228" i="16"/>
  <c r="M227" i="16"/>
  <c r="N227" i="16" s="1"/>
  <c r="I227" i="16"/>
  <c r="M226" i="16"/>
  <c r="I226" i="16"/>
  <c r="M225" i="16"/>
  <c r="I225" i="16"/>
  <c r="M224" i="16"/>
  <c r="N224" i="16" s="1"/>
  <c r="I224" i="16"/>
  <c r="M223" i="16"/>
  <c r="I223" i="16"/>
  <c r="M222" i="16"/>
  <c r="N222" i="16" s="1"/>
  <c r="I222" i="16"/>
  <c r="M221" i="16"/>
  <c r="I221" i="16"/>
  <c r="M220" i="16"/>
  <c r="N220" i="16" s="1"/>
  <c r="L220" i="16"/>
  <c r="I220" i="16"/>
  <c r="M219" i="16"/>
  <c r="I219" i="16"/>
  <c r="K218" i="16"/>
  <c r="I218" i="16"/>
  <c r="M218" i="16" s="1"/>
  <c r="M215" i="16"/>
  <c r="I215" i="16"/>
  <c r="M214" i="16"/>
  <c r="N214" i="16" s="1"/>
  <c r="I214" i="16"/>
  <c r="N213" i="16"/>
  <c r="I213" i="16"/>
  <c r="K212" i="16"/>
  <c r="I212" i="16"/>
  <c r="M212" i="16" s="1"/>
  <c r="L211" i="16"/>
  <c r="K211" i="16"/>
  <c r="H211" i="16"/>
  <c r="M210" i="16"/>
  <c r="N210" i="16" s="1"/>
  <c r="I210" i="16"/>
  <c r="M209" i="16"/>
  <c r="I209" i="16"/>
  <c r="M208" i="16"/>
  <c r="N208" i="16" s="1"/>
  <c r="I208" i="16"/>
  <c r="M207" i="16"/>
  <c r="N207" i="16" s="1"/>
  <c r="L207" i="16"/>
  <c r="I207" i="16"/>
  <c r="L206" i="16"/>
  <c r="K206" i="16"/>
  <c r="M206" i="16" s="1"/>
  <c r="N206" i="16" s="1"/>
  <c r="I206" i="16"/>
  <c r="M205" i="16"/>
  <c r="N205" i="16" s="1"/>
  <c r="L205" i="16"/>
  <c r="I205" i="16"/>
  <c r="M204" i="16"/>
  <c r="N204" i="16" s="1"/>
  <c r="I204" i="16"/>
  <c r="K203" i="16"/>
  <c r="M203" i="16" s="1"/>
  <c r="N203" i="16" s="1"/>
  <c r="I203" i="16"/>
  <c r="I202" i="16"/>
  <c r="M199" i="16"/>
  <c r="N199" i="16" s="1"/>
  <c r="L199" i="16"/>
  <c r="I199" i="16"/>
  <c r="M198" i="16"/>
  <c r="N198" i="16" s="1"/>
  <c r="L198" i="16"/>
  <c r="I198" i="16"/>
  <c r="I197" i="16"/>
  <c r="M197" i="16" s="1"/>
  <c r="N197" i="16" s="1"/>
  <c r="L196" i="16"/>
  <c r="K196" i="16"/>
  <c r="M196" i="16" s="1"/>
  <c r="N196" i="16" s="1"/>
  <c r="I196" i="16"/>
  <c r="M195" i="16"/>
  <c r="L195" i="16"/>
  <c r="I195" i="16"/>
  <c r="L194" i="16"/>
  <c r="K194" i="16"/>
  <c r="M194" i="16" s="1"/>
  <c r="I194" i="16"/>
  <c r="M193" i="16"/>
  <c r="M191" i="16"/>
  <c r="N191" i="16" s="1"/>
  <c r="I190" i="16"/>
  <c r="M190" i="16" s="1"/>
  <c r="N189" i="16"/>
  <c r="M189" i="16"/>
  <c r="M186" i="16"/>
  <c r="N186" i="16" s="1"/>
  <c r="L186" i="16"/>
  <c r="I186" i="16"/>
  <c r="K185" i="16"/>
  <c r="H185" i="16"/>
  <c r="M184" i="16"/>
  <c r="N184" i="16" s="1"/>
  <c r="L184" i="16"/>
  <c r="I184" i="16"/>
  <c r="L183" i="16"/>
  <c r="K183" i="16"/>
  <c r="M183" i="16" s="1"/>
  <c r="N183" i="16" s="1"/>
  <c r="I183" i="16"/>
  <c r="M181" i="16"/>
  <c r="I181" i="16"/>
  <c r="I180" i="16"/>
  <c r="M179" i="16"/>
  <c r="L179" i="16"/>
  <c r="I179" i="16"/>
  <c r="H175" i="16"/>
  <c r="L174" i="16"/>
  <c r="M174" i="16" s="1"/>
  <c r="N174" i="16" s="1"/>
  <c r="I174" i="16"/>
  <c r="M173" i="16"/>
  <c r="N173" i="16" s="1"/>
  <c r="K173" i="16"/>
  <c r="I173" i="16"/>
  <c r="M172" i="16"/>
  <c r="I172" i="16"/>
  <c r="M171" i="16"/>
  <c r="I171" i="16"/>
  <c r="M167" i="16"/>
  <c r="N167" i="16" s="1"/>
  <c r="I167" i="16"/>
  <c r="M166" i="16"/>
  <c r="I166" i="16"/>
  <c r="M165" i="16"/>
  <c r="N165" i="16" s="1"/>
  <c r="I165" i="16"/>
  <c r="M164" i="16"/>
  <c r="N164" i="16" s="1"/>
  <c r="I164" i="16"/>
  <c r="M161" i="16"/>
  <c r="N161" i="16" s="1"/>
  <c r="I161" i="16"/>
  <c r="L160" i="16"/>
  <c r="M160" i="16" s="1"/>
  <c r="N160" i="16" s="1"/>
  <c r="I160" i="16"/>
  <c r="M159" i="16"/>
  <c r="I159" i="16"/>
  <c r="M158" i="16"/>
  <c r="N158" i="16" s="1"/>
  <c r="I158" i="16"/>
  <c r="L157" i="16"/>
  <c r="M157" i="16" s="1"/>
  <c r="N157" i="16" s="1"/>
  <c r="K157" i="16"/>
  <c r="I157" i="16"/>
  <c r="M156" i="16"/>
  <c r="N156" i="16" s="1"/>
  <c r="I156" i="16"/>
  <c r="L155" i="16"/>
  <c r="M155" i="16" s="1"/>
  <c r="I155" i="16"/>
  <c r="L154" i="16"/>
  <c r="M154" i="16" s="1"/>
  <c r="N154" i="16" s="1"/>
  <c r="I154" i="16"/>
  <c r="M153" i="16"/>
  <c r="I153" i="16"/>
  <c r="L152" i="16"/>
  <c r="M152" i="16" s="1"/>
  <c r="N152" i="16" s="1"/>
  <c r="K152" i="16"/>
  <c r="I152" i="16"/>
  <c r="L151" i="16"/>
  <c r="M151" i="16" s="1"/>
  <c r="N151" i="16" s="1"/>
  <c r="I151" i="16"/>
  <c r="M150" i="16"/>
  <c r="N150" i="16" s="1"/>
  <c r="I150" i="16"/>
  <c r="L146" i="16"/>
  <c r="M146" i="16" s="1"/>
  <c r="N146" i="16" s="1"/>
  <c r="I146" i="16"/>
  <c r="M145" i="16"/>
  <c r="N145" i="16" s="1"/>
  <c r="I145" i="16"/>
  <c r="M144" i="16"/>
  <c r="N144" i="16" s="1"/>
  <c r="I144" i="16"/>
  <c r="K143" i="16"/>
  <c r="H143" i="16"/>
  <c r="M142" i="16"/>
  <c r="N142" i="16" s="1"/>
  <c r="I142" i="16"/>
  <c r="J141" i="16"/>
  <c r="M141" i="16" s="1"/>
  <c r="N141" i="16" s="1"/>
  <c r="M133" i="16"/>
  <c r="I133" i="16"/>
  <c r="M132" i="16"/>
  <c r="N132" i="16" s="1"/>
  <c r="K132" i="16"/>
  <c r="I132" i="16"/>
  <c r="L131" i="16"/>
  <c r="M131" i="16" s="1"/>
  <c r="I131" i="16"/>
  <c r="L130" i="16"/>
  <c r="M130" i="16" s="1"/>
  <c r="N130" i="16" s="1"/>
  <c r="K130" i="16"/>
  <c r="I130" i="16"/>
  <c r="M129" i="16"/>
  <c r="N129" i="16" s="1"/>
  <c r="I129" i="16"/>
  <c r="M128" i="16"/>
  <c r="N128" i="16" s="1"/>
  <c r="I128" i="16"/>
  <c r="M127" i="16"/>
  <c r="N127" i="16" s="1"/>
  <c r="I127" i="16"/>
  <c r="M126" i="16"/>
  <c r="N126" i="16" s="1"/>
  <c r="I126" i="16"/>
  <c r="M125" i="16"/>
  <c r="N125" i="16" s="1"/>
  <c r="I125" i="16"/>
  <c r="M124" i="16"/>
  <c r="N124" i="16" s="1"/>
  <c r="I124" i="16"/>
  <c r="L123" i="16"/>
  <c r="M123" i="16" s="1"/>
  <c r="N123" i="16" s="1"/>
  <c r="K123" i="16"/>
  <c r="I123" i="16"/>
  <c r="L122" i="16"/>
  <c r="M122" i="16" s="1"/>
  <c r="K122" i="16"/>
  <c r="I122" i="16"/>
  <c r="L121" i="16"/>
  <c r="M121" i="16" s="1"/>
  <c r="N121" i="16" s="1"/>
  <c r="I121" i="16"/>
  <c r="L120" i="16"/>
  <c r="M120" i="16" s="1"/>
  <c r="N120" i="16" s="1"/>
  <c r="I120" i="16"/>
  <c r="L119" i="16"/>
  <c r="M119" i="16" s="1"/>
  <c r="N119" i="16" s="1"/>
  <c r="K119" i="16"/>
  <c r="I119" i="16"/>
  <c r="M118" i="16"/>
  <c r="N118" i="16" s="1"/>
  <c r="I118" i="16"/>
  <c r="L117" i="16"/>
  <c r="M117" i="16" s="1"/>
  <c r="N117" i="16" s="1"/>
  <c r="K117" i="16"/>
  <c r="I117" i="16"/>
  <c r="M116" i="16"/>
  <c r="N116" i="16" s="1"/>
  <c r="K116" i="16"/>
  <c r="I116" i="16"/>
  <c r="M115" i="16"/>
  <c r="N115" i="16" s="1"/>
  <c r="I115" i="16"/>
  <c r="M114" i="16"/>
  <c r="N114" i="16" s="1"/>
  <c r="I114" i="16"/>
  <c r="L113" i="16"/>
  <c r="M113" i="16" s="1"/>
  <c r="N113" i="16" s="1"/>
  <c r="K113" i="16"/>
  <c r="I113" i="16"/>
  <c r="M112" i="16"/>
  <c r="N112" i="16" s="1"/>
  <c r="K112" i="16"/>
  <c r="I112" i="16"/>
  <c r="L111" i="16"/>
  <c r="M111" i="16" s="1"/>
  <c r="N111" i="16" s="1"/>
  <c r="I111" i="16"/>
  <c r="L110" i="16"/>
  <c r="M110" i="16" s="1"/>
  <c r="I110" i="16"/>
  <c r="L109" i="16"/>
  <c r="M109" i="16" s="1"/>
  <c r="N109" i="16" s="1"/>
  <c r="I109" i="16"/>
  <c r="M108" i="16"/>
  <c r="N108" i="16" s="1"/>
  <c r="I108" i="16"/>
  <c r="L107" i="16"/>
  <c r="M107" i="16" s="1"/>
  <c r="I107" i="16"/>
  <c r="L106" i="16"/>
  <c r="M106" i="16" s="1"/>
  <c r="N106" i="16" s="1"/>
  <c r="I106" i="16"/>
  <c r="J105" i="16"/>
  <c r="I105" i="16" s="1"/>
  <c r="L104" i="16"/>
  <c r="M104" i="16" s="1"/>
  <c r="I104" i="16"/>
  <c r="M103" i="16"/>
  <c r="N103" i="16" s="1"/>
  <c r="I103" i="16"/>
  <c r="M102" i="16"/>
  <c r="N102" i="16" s="1"/>
  <c r="I102" i="16"/>
  <c r="L101" i="16"/>
  <c r="J101" i="16"/>
  <c r="L100" i="16"/>
  <c r="M100" i="16" s="1"/>
  <c r="N100" i="16" s="1"/>
  <c r="I100" i="16"/>
  <c r="M99" i="16"/>
  <c r="I99" i="16"/>
  <c r="M98" i="16"/>
  <c r="N98" i="16" s="1"/>
  <c r="K98" i="16"/>
  <c r="I98" i="16"/>
  <c r="M97" i="16"/>
  <c r="N97" i="16" s="1"/>
  <c r="K97" i="16"/>
  <c r="I97" i="16"/>
  <c r="M96" i="16"/>
  <c r="N96" i="16" s="1"/>
  <c r="I96" i="16"/>
  <c r="L95" i="16"/>
  <c r="M95" i="16" s="1"/>
  <c r="N95" i="16" s="1"/>
  <c r="K95" i="16"/>
  <c r="I95" i="16"/>
  <c r="M93" i="16"/>
  <c r="N93" i="16" s="1"/>
  <c r="I93" i="16"/>
  <c r="M92" i="16"/>
  <c r="N92" i="16" s="1"/>
  <c r="I92" i="16"/>
  <c r="M91" i="16"/>
  <c r="I91" i="16"/>
  <c r="L90" i="16"/>
  <c r="M90" i="16" s="1"/>
  <c r="N90" i="16" s="1"/>
  <c r="I90" i="16"/>
  <c r="M89" i="16"/>
  <c r="N89" i="16" s="1"/>
  <c r="I89" i="16"/>
  <c r="L88" i="16"/>
  <c r="M88" i="16" s="1"/>
  <c r="I88" i="16"/>
  <c r="L87" i="16"/>
  <c r="M87" i="16" s="1"/>
  <c r="N87" i="16" s="1"/>
  <c r="I87" i="16"/>
  <c r="Q86" i="16"/>
  <c r="M86" i="16"/>
  <c r="I86" i="16"/>
  <c r="M85" i="16"/>
  <c r="N85" i="16" s="1"/>
  <c r="K85" i="16"/>
  <c r="I85" i="16"/>
  <c r="N84" i="16"/>
  <c r="L84" i="16"/>
  <c r="K84" i="16"/>
  <c r="I84" i="16"/>
  <c r="M83" i="16"/>
  <c r="N83" i="16" s="1"/>
  <c r="K83" i="16"/>
  <c r="I83" i="16"/>
  <c r="L82" i="16"/>
  <c r="M82" i="16" s="1"/>
  <c r="I82" i="16"/>
  <c r="L81" i="16"/>
  <c r="M81" i="16" s="1"/>
  <c r="K81" i="16"/>
  <c r="I81" i="16"/>
  <c r="N80" i="16"/>
  <c r="I80" i="16"/>
  <c r="Q78" i="16"/>
  <c r="M78" i="16"/>
  <c r="I78" i="16"/>
  <c r="Q77" i="16"/>
  <c r="M77" i="16"/>
  <c r="N77" i="16" s="1"/>
  <c r="I77" i="16"/>
  <c r="Q76" i="16"/>
  <c r="M76" i="16"/>
  <c r="I76" i="16"/>
  <c r="Q75" i="16"/>
  <c r="M75" i="16"/>
  <c r="I75" i="16"/>
  <c r="Q74" i="16"/>
  <c r="M74" i="16"/>
  <c r="I74" i="16"/>
  <c r="Q72" i="16"/>
  <c r="M72" i="16"/>
  <c r="N72" i="16" s="1"/>
  <c r="I72" i="16"/>
  <c r="Q71" i="16"/>
  <c r="M71" i="16"/>
  <c r="N71" i="16" s="1"/>
  <c r="I71" i="16"/>
  <c r="Q70" i="16"/>
  <c r="M70" i="16"/>
  <c r="N70" i="16" s="1"/>
  <c r="I70" i="16"/>
  <c r="Q69" i="16"/>
  <c r="M69" i="16"/>
  <c r="N69" i="16" s="1"/>
  <c r="I69" i="16"/>
  <c r="Q68" i="16"/>
  <c r="M68" i="16"/>
  <c r="N68" i="16" s="1"/>
  <c r="I68" i="16"/>
  <c r="Q67" i="16"/>
  <c r="M67" i="16"/>
  <c r="N67" i="16" s="1"/>
  <c r="I67" i="16"/>
  <c r="Q66" i="16"/>
  <c r="M66" i="16"/>
  <c r="N66" i="16" s="1"/>
  <c r="I66" i="16"/>
  <c r="Q65" i="16"/>
  <c r="M65" i="16"/>
  <c r="N65" i="16" s="1"/>
  <c r="I65" i="16"/>
  <c r="I64" i="16"/>
  <c r="Q62" i="16"/>
  <c r="M62" i="16"/>
  <c r="N62" i="16" s="1"/>
  <c r="I62" i="16"/>
  <c r="M61" i="16"/>
  <c r="I61" i="16"/>
  <c r="L60" i="16"/>
  <c r="Q60" i="16" s="1"/>
  <c r="I60" i="16"/>
  <c r="K59" i="16"/>
  <c r="H59" i="16"/>
  <c r="L58" i="16"/>
  <c r="M58" i="16" s="1"/>
  <c r="K58" i="16"/>
  <c r="I58" i="16"/>
  <c r="L56" i="16"/>
  <c r="Q56" i="16" s="1"/>
  <c r="I56" i="16"/>
  <c r="L55" i="16"/>
  <c r="Q55" i="16" s="1"/>
  <c r="I55" i="16"/>
  <c r="K54" i="16"/>
  <c r="I54" i="16"/>
  <c r="Q53" i="16"/>
  <c r="M53" i="16"/>
  <c r="N53" i="16" s="1"/>
  <c r="I53" i="16"/>
  <c r="L52" i="16"/>
  <c r="M52" i="16" s="1"/>
  <c r="N52" i="16" s="1"/>
  <c r="K52" i="16"/>
  <c r="I52" i="16"/>
  <c r="M51" i="16"/>
  <c r="N51" i="16" s="1"/>
  <c r="K51" i="16"/>
  <c r="Q51" i="16" s="1"/>
  <c r="I51" i="16"/>
  <c r="Q50" i="16"/>
  <c r="M50" i="16"/>
  <c r="N50" i="16" s="1"/>
  <c r="I50" i="16"/>
  <c r="Q49" i="16"/>
  <c r="M49" i="16"/>
  <c r="K48" i="16"/>
  <c r="I48" i="16"/>
  <c r="L47" i="16"/>
  <c r="M47" i="16" s="1"/>
  <c r="I47" i="16"/>
  <c r="M46" i="16"/>
  <c r="K46" i="16"/>
  <c r="Q46" i="16" s="1"/>
  <c r="I46" i="16"/>
  <c r="M45" i="16"/>
  <c r="I45" i="16"/>
  <c r="L44" i="16"/>
  <c r="M44" i="16" s="1"/>
  <c r="N44" i="16" s="1"/>
  <c r="K44" i="16"/>
  <c r="I44" i="16"/>
  <c r="L43" i="16"/>
  <c r="M43" i="16" s="1"/>
  <c r="N43" i="16" s="1"/>
  <c r="K43" i="16"/>
  <c r="I43" i="16"/>
  <c r="L42" i="16"/>
  <c r="M42" i="16" s="1"/>
  <c r="I42" i="16"/>
  <c r="Q41" i="16"/>
  <c r="M41" i="16"/>
  <c r="N41" i="16" s="1"/>
  <c r="I41" i="16"/>
  <c r="L40" i="16"/>
  <c r="M40" i="16" s="1"/>
  <c r="N40" i="16" s="1"/>
  <c r="K40" i="16"/>
  <c r="I40" i="16"/>
  <c r="L39" i="16"/>
  <c r="M39" i="16" s="1"/>
  <c r="N39" i="16" s="1"/>
  <c r="K39" i="16"/>
  <c r="I39" i="16"/>
  <c r="L38" i="16"/>
  <c r="M38" i="16" s="1"/>
  <c r="I38" i="16"/>
  <c r="Q37" i="16"/>
  <c r="M37" i="16"/>
  <c r="I37" i="16"/>
  <c r="L36" i="16"/>
  <c r="M36" i="16" s="1"/>
  <c r="N36" i="16" s="1"/>
  <c r="K36" i="16"/>
  <c r="I36" i="16"/>
  <c r="L35" i="16"/>
  <c r="M35" i="16" s="1"/>
  <c r="K35" i="16"/>
  <c r="I35" i="16"/>
  <c r="M34" i="16"/>
  <c r="K34" i="16"/>
  <c r="Q34" i="16" s="1"/>
  <c r="I34" i="16"/>
  <c r="K33" i="16"/>
  <c r="I33" i="16"/>
  <c r="Q32" i="16"/>
  <c r="M32" i="16"/>
  <c r="N32" i="16" s="1"/>
  <c r="I32" i="16"/>
  <c r="Q31" i="16"/>
  <c r="M31" i="16"/>
  <c r="I31" i="16"/>
  <c r="L30" i="16"/>
  <c r="Q30" i="16" s="1"/>
  <c r="I30" i="16"/>
  <c r="M29" i="16"/>
  <c r="N29" i="16" s="1"/>
  <c r="K29" i="16"/>
  <c r="Q29" i="16" s="1"/>
  <c r="I29" i="16"/>
  <c r="L28" i="16"/>
  <c r="Q28" i="16" s="1"/>
  <c r="I28" i="16"/>
  <c r="L27" i="16"/>
  <c r="Q27" i="16" s="1"/>
  <c r="I27" i="16"/>
  <c r="Q26" i="16"/>
  <c r="M26" i="16"/>
  <c r="N26" i="16" s="1"/>
  <c r="I26" i="16"/>
  <c r="L25" i="16"/>
  <c r="M25" i="16" s="1"/>
  <c r="N25" i="16" s="1"/>
  <c r="K25" i="16"/>
  <c r="I25" i="16"/>
  <c r="L24" i="16"/>
  <c r="Q24" i="16" s="1"/>
  <c r="I24" i="16"/>
  <c r="L23" i="16"/>
  <c r="M23" i="16" s="1"/>
  <c r="N23" i="16" s="1"/>
  <c r="K23" i="16"/>
  <c r="I23" i="16"/>
  <c r="L22" i="16"/>
  <c r="M22" i="16" s="1"/>
  <c r="K22" i="16"/>
  <c r="I22" i="16"/>
  <c r="L21" i="16"/>
  <c r="M21" i="16" s="1"/>
  <c r="K21" i="16"/>
  <c r="I21" i="16"/>
  <c r="M20" i="16"/>
  <c r="N20" i="16" s="1"/>
  <c r="I20" i="16"/>
  <c r="Q18" i="16"/>
  <c r="M18" i="16"/>
  <c r="I18" i="16"/>
  <c r="L17" i="16"/>
  <c r="M17" i="16" s="1"/>
  <c r="N17" i="16" s="1"/>
  <c r="I17" i="16"/>
  <c r="L16" i="16"/>
  <c r="Q16" i="16" s="1"/>
  <c r="I16" i="16"/>
  <c r="L15" i="16"/>
  <c r="Q15" i="16" s="1"/>
  <c r="I15" i="16"/>
  <c r="L14" i="16"/>
  <c r="Q14" i="16" s="1"/>
  <c r="I14" i="16"/>
  <c r="L13" i="16"/>
  <c r="M13" i="16" s="1"/>
  <c r="N13" i="16" s="1"/>
  <c r="K13" i="16"/>
  <c r="I13" i="16"/>
  <c r="L12" i="16"/>
  <c r="M12" i="16" s="1"/>
  <c r="N12" i="16" s="1"/>
  <c r="K12" i="16"/>
  <c r="I12" i="16"/>
  <c r="L11" i="16"/>
  <c r="M11" i="16" s="1"/>
  <c r="N11" i="16" s="1"/>
  <c r="K11" i="16"/>
  <c r="I11" i="16"/>
  <c r="L10" i="16"/>
  <c r="M10" i="16" s="1"/>
  <c r="N10" i="16" s="1"/>
  <c r="K10" i="16"/>
  <c r="I10" i="16"/>
  <c r="N9" i="16"/>
  <c r="M9" i="16"/>
  <c r="K9" i="16"/>
  <c r="Q9" i="16" s="1"/>
  <c r="I9" i="16"/>
  <c r="M8" i="16"/>
  <c r="N8" i="16" s="1"/>
  <c r="K8" i="16"/>
  <c r="I8" i="16"/>
  <c r="N7" i="16"/>
  <c r="L7" i="16"/>
  <c r="M7" i="16" s="1"/>
  <c r="K7" i="16"/>
  <c r="I7" i="16"/>
  <c r="Q6" i="16"/>
  <c r="I6" i="16"/>
  <c r="L5" i="16"/>
  <c r="M5" i="16" s="1"/>
  <c r="K5" i="16"/>
  <c r="I5" i="16"/>
  <c r="K4" i="16"/>
  <c r="I4" i="16"/>
  <c r="N229" i="16" l="1"/>
  <c r="N231" i="16"/>
  <c r="Q64" i="16"/>
  <c r="Q19" i="16"/>
  <c r="M16" i="16"/>
  <c r="N16" i="16" s="1"/>
  <c r="M14" i="16"/>
  <c r="M105" i="16"/>
  <c r="N59" i="16"/>
  <c r="Q5" i="16"/>
  <c r="Q33" i="16"/>
  <c r="Q40" i="16"/>
  <c r="Q44" i="16"/>
  <c r="Q22" i="16"/>
  <c r="Q23" i="16"/>
  <c r="M24" i="16"/>
  <c r="N24" i="16" s="1"/>
  <c r="Q35" i="16"/>
  <c r="Q10" i="16"/>
  <c r="Q11" i="16"/>
  <c r="Q12" i="16"/>
  <c r="Q13" i="16"/>
  <c r="M15" i="16"/>
  <c r="N15" i="16" s="1"/>
  <c r="Q21" i="16"/>
  <c r="M27" i="16"/>
  <c r="Q36" i="16"/>
  <c r="Q54" i="16"/>
  <c r="M55" i="16"/>
  <c r="N55" i="16" s="1"/>
  <c r="Q59" i="16"/>
  <c r="M60" i="16"/>
  <c r="N60" i="16" s="1"/>
  <c r="M101" i="16"/>
  <c r="N101" i="16" s="1"/>
  <c r="M143" i="16"/>
  <c r="M321" i="16"/>
  <c r="N321" i="16" s="1"/>
  <c r="M211" i="16"/>
  <c r="N211" i="16" s="1"/>
  <c r="Q8" i="16"/>
  <c r="Q25" i="16"/>
  <c r="Q58" i="16"/>
  <c r="Q83" i="16"/>
  <c r="Q85" i="16"/>
  <c r="M28" i="16"/>
  <c r="N28" i="16" s="1"/>
  <c r="Q81" i="16"/>
  <c r="Q82" i="16"/>
  <c r="M6" i="16"/>
  <c r="N6" i="16" s="1"/>
  <c r="M30" i="16"/>
  <c r="N30" i="16" s="1"/>
  <c r="Q39" i="16"/>
  <c r="Q52" i="16"/>
  <c r="I185" i="16"/>
  <c r="M185" i="16" s="1"/>
  <c r="N185" i="16" s="1"/>
  <c r="I211" i="16"/>
  <c r="Q4" i="16"/>
  <c r="Q7" i="16"/>
  <c r="Q43" i="16"/>
  <c r="Q48" i="16"/>
  <c r="M56" i="16"/>
  <c r="N56" i="16" s="1"/>
  <c r="I143" i="16"/>
  <c r="M230" i="16"/>
  <c r="N230" i="16" s="1"/>
  <c r="L333" i="16"/>
  <c r="Q17" i="16"/>
  <c r="Q80" i="16"/>
  <c r="I141" i="16"/>
  <c r="Q38" i="16"/>
  <c r="Q42" i="16"/>
  <c r="Q45" i="16"/>
  <c r="Q47" i="16"/>
  <c r="Q61" i="16"/>
  <c r="I101" i="16"/>
  <c r="I333" i="16" s="1"/>
  <c r="E73" i="14" l="1"/>
  <c r="D55" i="15"/>
  <c r="F83" i="14"/>
  <c r="E83" i="14"/>
  <c r="I193" i="13" l="1"/>
  <c r="E2" i="14" l="1"/>
  <c r="E9" i="14"/>
  <c r="D14" i="14" l="1"/>
  <c r="C14" i="14"/>
  <c r="E14" i="14"/>
  <c r="F14" i="14"/>
  <c r="D57" i="12"/>
  <c r="D14" i="12"/>
  <c r="L255" i="13" l="1"/>
  <c r="M338" i="13"/>
  <c r="I338" i="13"/>
  <c r="M337" i="13"/>
  <c r="N337" i="13" s="1"/>
  <c r="I337" i="13"/>
  <c r="M336" i="13"/>
  <c r="I336" i="13"/>
  <c r="M335" i="13"/>
  <c r="N335" i="13" s="1"/>
  <c r="I335" i="13"/>
  <c r="M334" i="13"/>
  <c r="I334" i="13"/>
  <c r="L278" i="13"/>
  <c r="M278" i="13" s="1"/>
  <c r="I278" i="13"/>
  <c r="M277" i="13"/>
  <c r="N277" i="13" s="1"/>
  <c r="I277" i="13"/>
  <c r="J276" i="13"/>
  <c r="M276" i="13" s="1"/>
  <c r="N276" i="13" s="1"/>
  <c r="L275" i="13"/>
  <c r="M275" i="13" s="1"/>
  <c r="N275" i="13" s="1"/>
  <c r="K275" i="13"/>
  <c r="I275" i="13"/>
  <c r="M265" i="13"/>
  <c r="N265" i="13" s="1"/>
  <c r="I265" i="13"/>
  <c r="M283" i="13"/>
  <c r="N283" i="13" s="1"/>
  <c r="I283" i="13"/>
  <c r="M282" i="13"/>
  <c r="N282" i="13" s="1"/>
  <c r="I282" i="13"/>
  <c r="M271" i="13"/>
  <c r="I271" i="13"/>
  <c r="L274" i="13"/>
  <c r="M274" i="13" s="1"/>
  <c r="N274" i="13" s="1"/>
  <c r="K274" i="13"/>
  <c r="I274" i="13"/>
  <c r="M270" i="13"/>
  <c r="N270" i="13" s="1"/>
  <c r="I270" i="13"/>
  <c r="M269" i="13"/>
  <c r="N269" i="13" s="1"/>
  <c r="I269" i="13"/>
  <c r="L264" i="13"/>
  <c r="M264" i="13" s="1"/>
  <c r="N264" i="13" s="1"/>
  <c r="K264" i="13"/>
  <c r="I264" i="13"/>
  <c r="M263" i="13"/>
  <c r="N263" i="13" s="1"/>
  <c r="I263" i="13"/>
  <c r="L273" i="13"/>
  <c r="M273" i="13" s="1"/>
  <c r="N273" i="13" s="1"/>
  <c r="K273" i="13"/>
  <c r="I273" i="13"/>
  <c r="L281" i="13"/>
  <c r="M281" i="13" s="1"/>
  <c r="N281" i="13" s="1"/>
  <c r="K281" i="13"/>
  <c r="I281" i="13"/>
  <c r="M280" i="13"/>
  <c r="N280" i="13" s="1"/>
  <c r="I280" i="13"/>
  <c r="M279" i="13"/>
  <c r="N279" i="13" s="1"/>
  <c r="I279" i="13"/>
  <c r="L268" i="13"/>
  <c r="M268" i="13" s="1"/>
  <c r="N268" i="13" s="1"/>
  <c r="K268" i="13"/>
  <c r="I268" i="13"/>
  <c r="L267" i="13"/>
  <c r="M267" i="13" s="1"/>
  <c r="N267" i="13" s="1"/>
  <c r="K267" i="13"/>
  <c r="I267" i="13"/>
  <c r="L266" i="13"/>
  <c r="M266" i="13" s="1"/>
  <c r="N266" i="13" s="1"/>
  <c r="K266" i="13"/>
  <c r="I266" i="13"/>
  <c r="M262" i="13"/>
  <c r="N262" i="13" s="1"/>
  <c r="I262" i="13"/>
  <c r="M272" i="13"/>
  <c r="N272" i="13" s="1"/>
  <c r="I272" i="13"/>
  <c r="M202" i="13"/>
  <c r="N202" i="13" s="1"/>
  <c r="I202" i="13"/>
  <c r="M333" i="13"/>
  <c r="N333" i="13" s="1"/>
  <c r="I333" i="13"/>
  <c r="M332" i="13"/>
  <c r="N332" i="13" s="1"/>
  <c r="I332" i="13"/>
  <c r="M331" i="13"/>
  <c r="N331" i="13" s="1"/>
  <c r="I331" i="13"/>
  <c r="M330" i="13"/>
  <c r="I330" i="13"/>
  <c r="M254" i="13"/>
  <c r="N254" i="13" s="1"/>
  <c r="I254" i="13"/>
  <c r="L253" i="13"/>
  <c r="M253" i="13" s="1"/>
  <c r="N253" i="13" s="1"/>
  <c r="I253" i="13"/>
  <c r="M260" i="13"/>
  <c r="N260" i="13" s="1"/>
  <c r="I260" i="13"/>
  <c r="M252" i="13"/>
  <c r="N252" i="13" s="1"/>
  <c r="I252" i="13"/>
  <c r="M259" i="13"/>
  <c r="N259" i="13" s="1"/>
  <c r="I259" i="13"/>
  <c r="M251" i="13"/>
  <c r="N251" i="13" s="1"/>
  <c r="I251" i="13"/>
  <c r="M250" i="13"/>
  <c r="N250" i="13" s="1"/>
  <c r="I250" i="13"/>
  <c r="M258" i="13"/>
  <c r="N258" i="13" s="1"/>
  <c r="L258" i="13"/>
  <c r="K258" i="13"/>
  <c r="I258" i="13"/>
  <c r="M249" i="13"/>
  <c r="N249" i="13" s="1"/>
  <c r="I249" i="13"/>
  <c r="L248" i="13"/>
  <c r="M248" i="13" s="1"/>
  <c r="N248" i="13" s="1"/>
  <c r="K248" i="13"/>
  <c r="I248" i="13"/>
  <c r="L257" i="13"/>
  <c r="M257" i="13" s="1"/>
  <c r="K257" i="13"/>
  <c r="I257" i="13"/>
  <c r="L256" i="13"/>
  <c r="M256" i="13" s="1"/>
  <c r="N256" i="13" s="1"/>
  <c r="K256" i="13"/>
  <c r="I256" i="13"/>
  <c r="M255" i="13"/>
  <c r="N255" i="13" s="1"/>
  <c r="K255" i="13"/>
  <c r="I255" i="13"/>
  <c r="M329" i="13"/>
  <c r="I329" i="13"/>
  <c r="M195" i="13"/>
  <c r="I195" i="13"/>
  <c r="M182" i="13"/>
  <c r="N182" i="13" s="1"/>
  <c r="I182" i="13"/>
  <c r="L228" i="13"/>
  <c r="K228" i="13"/>
  <c r="M228" i="13" s="1"/>
  <c r="I228" i="13"/>
  <c r="L227" i="13"/>
  <c r="K227" i="13"/>
  <c r="M227" i="13" s="1"/>
  <c r="I227" i="13"/>
  <c r="M194" i="13"/>
  <c r="N194" i="13" s="1"/>
  <c r="I194" i="13"/>
  <c r="M226" i="13"/>
  <c r="N226" i="13" s="1"/>
  <c r="I226" i="13"/>
  <c r="M225" i="13"/>
  <c r="N225" i="13" s="1"/>
  <c r="I225" i="13"/>
  <c r="N224" i="13"/>
  <c r="I224" i="13"/>
  <c r="M223" i="13"/>
  <c r="N223" i="13" s="1"/>
  <c r="I223" i="13"/>
  <c r="M222" i="13"/>
  <c r="N222" i="13" s="1"/>
  <c r="I222" i="13"/>
  <c r="M221" i="13"/>
  <c r="N221" i="13" s="1"/>
  <c r="I221" i="13"/>
  <c r="L220" i="13"/>
  <c r="I220" i="13"/>
  <c r="M193" i="13"/>
  <c r="M205" i="13"/>
  <c r="I205" i="13"/>
  <c r="L198" i="13"/>
  <c r="K198" i="13"/>
  <c r="M198" i="13" s="1"/>
  <c r="I198" i="13"/>
  <c r="L201" i="13"/>
  <c r="K201" i="13"/>
  <c r="M201" i="13" s="1"/>
  <c r="N201" i="13" s="1"/>
  <c r="I201" i="13"/>
  <c r="L199" i="13"/>
  <c r="K199" i="13"/>
  <c r="M199" i="13" s="1"/>
  <c r="N199" i="13" s="1"/>
  <c r="I199" i="13"/>
  <c r="M204" i="13"/>
  <c r="I204" i="13"/>
  <c r="M197" i="13"/>
  <c r="N197" i="13" s="1"/>
  <c r="I197" i="13"/>
  <c r="M219" i="13"/>
  <c r="N219" i="13" s="1"/>
  <c r="I219" i="13"/>
  <c r="L200" i="13"/>
  <c r="K200" i="13"/>
  <c r="H200" i="13"/>
  <c r="I200" i="13" s="1"/>
  <c r="L154" i="13"/>
  <c r="H154" i="13"/>
  <c r="I154" i="13" s="1"/>
  <c r="M328" i="13"/>
  <c r="I328" i="13"/>
  <c r="M327" i="13"/>
  <c r="N327" i="13" s="1"/>
  <c r="I327" i="13"/>
  <c r="M326" i="13"/>
  <c r="I326" i="13"/>
  <c r="M325" i="13"/>
  <c r="I325" i="13"/>
  <c r="M324" i="13"/>
  <c r="I324" i="13"/>
  <c r="M323" i="13"/>
  <c r="I323" i="13"/>
  <c r="M322" i="13"/>
  <c r="I322" i="13"/>
  <c r="M218" i="13"/>
  <c r="I218" i="13"/>
  <c r="N243" i="13"/>
  <c r="L243" i="13"/>
  <c r="H243" i="13"/>
  <c r="I243" i="13" s="1"/>
  <c r="M242" i="13"/>
  <c r="I242" i="13"/>
  <c r="M238" i="13"/>
  <c r="N238" i="13" s="1"/>
  <c r="I238" i="13"/>
  <c r="L237" i="13"/>
  <c r="K237" i="13"/>
  <c r="M237" i="13" s="1"/>
  <c r="N237" i="13" s="1"/>
  <c r="I237" i="13"/>
  <c r="M234" i="13"/>
  <c r="N234" i="13" s="1"/>
  <c r="I234" i="13"/>
  <c r="L246" i="13"/>
  <c r="K246" i="13"/>
  <c r="M246" i="13" s="1"/>
  <c r="N246" i="13" s="1"/>
  <c r="I246" i="13"/>
  <c r="I233" i="13"/>
  <c r="M236" i="13"/>
  <c r="N236" i="13" s="1"/>
  <c r="I236" i="13"/>
  <c r="M245" i="13"/>
  <c r="N245" i="13" s="1"/>
  <c r="I245" i="13"/>
  <c r="M244" i="13"/>
  <c r="N244" i="13" s="1"/>
  <c r="L244" i="13"/>
  <c r="I244" i="13"/>
  <c r="M235" i="13"/>
  <c r="N235" i="13" s="1"/>
  <c r="I235" i="13"/>
  <c r="M232" i="13"/>
  <c r="N232" i="13" s="1"/>
  <c r="I232" i="13"/>
  <c r="M241" i="13"/>
  <c r="N241" i="13" s="1"/>
  <c r="I241" i="13"/>
  <c r="M240" i="13"/>
  <c r="N240" i="13" s="1"/>
  <c r="I240" i="13"/>
  <c r="M231" i="13"/>
  <c r="N231" i="13" s="1"/>
  <c r="I231" i="13"/>
  <c r="M321" i="13"/>
  <c r="N321" i="13" s="1"/>
  <c r="I321" i="13"/>
  <c r="M181" i="13"/>
  <c r="I181" i="13"/>
  <c r="M217" i="13"/>
  <c r="I217" i="13"/>
  <c r="L216" i="13"/>
  <c r="K216" i="13"/>
  <c r="M216" i="13" s="1"/>
  <c r="I216" i="13"/>
  <c r="L215" i="13"/>
  <c r="K215" i="13"/>
  <c r="M215" i="13" s="1"/>
  <c r="I215" i="13"/>
  <c r="L214" i="13"/>
  <c r="K214" i="13"/>
  <c r="M214" i="13" s="1"/>
  <c r="I214" i="13"/>
  <c r="N213" i="13"/>
  <c r="I213" i="13"/>
  <c r="N212" i="13"/>
  <c r="I212" i="13"/>
  <c r="L230" i="13"/>
  <c r="K230" i="13"/>
  <c r="M230" i="13" s="1"/>
  <c r="N230" i="13" s="1"/>
  <c r="I230" i="13"/>
  <c r="M211" i="13"/>
  <c r="N211" i="13" s="1"/>
  <c r="I211" i="13"/>
  <c r="M210" i="13"/>
  <c r="N210" i="13" s="1"/>
  <c r="I210" i="13"/>
  <c r="M229" i="13"/>
  <c r="N229" i="13" s="1"/>
  <c r="I229" i="13"/>
  <c r="M209" i="13"/>
  <c r="I209" i="13"/>
  <c r="M208" i="13"/>
  <c r="N208" i="13" s="1"/>
  <c r="L208" i="13"/>
  <c r="I208" i="13"/>
  <c r="M207" i="13"/>
  <c r="I207" i="13"/>
  <c r="M161" i="13"/>
  <c r="N161" i="13" s="1"/>
  <c r="L161" i="13"/>
  <c r="I161" i="13"/>
  <c r="M320" i="13"/>
  <c r="N320" i="13" s="1"/>
  <c r="I320" i="13"/>
  <c r="M239" i="13"/>
  <c r="N239" i="13" s="1"/>
  <c r="I239" i="13"/>
  <c r="L261" i="13"/>
  <c r="K261" i="13"/>
  <c r="M261" i="13" s="1"/>
  <c r="N261" i="13" s="1"/>
  <c r="I261" i="13"/>
  <c r="M319" i="13"/>
  <c r="I319" i="13"/>
  <c r="M192" i="13"/>
  <c r="N192" i="13" s="1"/>
  <c r="I192" i="13"/>
  <c r="M187" i="13"/>
  <c r="I187" i="13"/>
  <c r="M180" i="13"/>
  <c r="N180" i="13" s="1"/>
  <c r="L180" i="13"/>
  <c r="I180" i="13"/>
  <c r="M179" i="13"/>
  <c r="N179" i="13" s="1"/>
  <c r="L179" i="13"/>
  <c r="I179" i="13"/>
  <c r="M191" i="13"/>
  <c r="I191" i="13"/>
  <c r="M190" i="13"/>
  <c r="N190" i="13" s="1"/>
  <c r="L190" i="13"/>
  <c r="I190" i="13"/>
  <c r="L178" i="13"/>
  <c r="K178" i="13"/>
  <c r="M178" i="13" s="1"/>
  <c r="N178" i="13" s="1"/>
  <c r="I178" i="13"/>
  <c r="N79" i="13"/>
  <c r="L79" i="13"/>
  <c r="K79" i="13"/>
  <c r="I79" i="13"/>
  <c r="M189" i="13"/>
  <c r="I189" i="13"/>
  <c r="M177" i="13"/>
  <c r="N177" i="13" s="1"/>
  <c r="L177" i="13"/>
  <c r="I177" i="13"/>
  <c r="K188" i="13"/>
  <c r="M188" i="13" s="1"/>
  <c r="I188" i="13"/>
  <c r="M196" i="13"/>
  <c r="L196" i="13"/>
  <c r="I196" i="13"/>
  <c r="M318" i="13"/>
  <c r="I318" i="13"/>
  <c r="M167" i="13"/>
  <c r="M165" i="13"/>
  <c r="N165" i="13" s="1"/>
  <c r="I164" i="13"/>
  <c r="M164" i="13" s="1"/>
  <c r="N163" i="13"/>
  <c r="M163" i="13"/>
  <c r="M176" i="13"/>
  <c r="N176" i="13" s="1"/>
  <c r="I176" i="13"/>
  <c r="M173" i="13"/>
  <c r="N173" i="13" s="1"/>
  <c r="L173" i="13"/>
  <c r="I173" i="13"/>
  <c r="M186" i="13"/>
  <c r="N186" i="13" s="1"/>
  <c r="I186" i="13"/>
  <c r="N185" i="13"/>
  <c r="I185" i="13"/>
  <c r="L175" i="13"/>
  <c r="K175" i="13"/>
  <c r="M175" i="13" s="1"/>
  <c r="N175" i="13" s="1"/>
  <c r="I175" i="13"/>
  <c r="M172" i="13"/>
  <c r="N172" i="13" s="1"/>
  <c r="L172" i="13"/>
  <c r="I172" i="13"/>
  <c r="M171" i="13"/>
  <c r="N171" i="13" s="1"/>
  <c r="L171" i="13"/>
  <c r="I171" i="13"/>
  <c r="L170" i="13"/>
  <c r="K170" i="13"/>
  <c r="M170" i="13" s="1"/>
  <c r="N170" i="13" s="1"/>
  <c r="I170" i="13"/>
  <c r="L184" i="13"/>
  <c r="K184" i="13"/>
  <c r="M184" i="13" s="1"/>
  <c r="I184" i="13"/>
  <c r="L183" i="13"/>
  <c r="K183" i="13"/>
  <c r="H183" i="13"/>
  <c r="I183" i="13" s="1"/>
  <c r="M169" i="13"/>
  <c r="L169" i="13"/>
  <c r="I169" i="13"/>
  <c r="L168" i="13"/>
  <c r="K168" i="13"/>
  <c r="M168" i="13" s="1"/>
  <c r="I168" i="13"/>
  <c r="I174" i="13"/>
  <c r="M317" i="13"/>
  <c r="I317" i="13"/>
  <c r="M206" i="13"/>
  <c r="L206" i="13"/>
  <c r="I206" i="13"/>
  <c r="L160" i="13"/>
  <c r="K160" i="13"/>
  <c r="H160" i="13"/>
  <c r="M159" i="13"/>
  <c r="N159" i="13" s="1"/>
  <c r="L159" i="13"/>
  <c r="I159" i="13"/>
  <c r="L158" i="13"/>
  <c r="K158" i="13"/>
  <c r="M158" i="13" s="1"/>
  <c r="N158" i="13" s="1"/>
  <c r="I158" i="13"/>
  <c r="M157" i="13"/>
  <c r="L157" i="13"/>
  <c r="I157" i="13"/>
  <c r="I156" i="13"/>
  <c r="M155" i="13"/>
  <c r="L155" i="13"/>
  <c r="I155" i="13"/>
  <c r="M316" i="13"/>
  <c r="I316" i="13"/>
  <c r="L153" i="13"/>
  <c r="M153" i="13" s="1"/>
  <c r="N153" i="13" s="1"/>
  <c r="I153" i="13"/>
  <c r="L152" i="13"/>
  <c r="M152" i="13" s="1"/>
  <c r="N152" i="13" s="1"/>
  <c r="K152" i="13"/>
  <c r="I152" i="13"/>
  <c r="M315" i="13"/>
  <c r="I315" i="13"/>
  <c r="M314" i="13"/>
  <c r="N314" i="13" s="1"/>
  <c r="I314" i="13"/>
  <c r="M313" i="13"/>
  <c r="N313" i="13" s="1"/>
  <c r="I313" i="13"/>
  <c r="M312" i="13"/>
  <c r="N312" i="13" s="1"/>
  <c r="I312" i="13"/>
  <c r="M311" i="13"/>
  <c r="N311" i="13" s="1"/>
  <c r="I311" i="13"/>
  <c r="M310" i="13"/>
  <c r="N310" i="13" s="1"/>
  <c r="I310" i="13"/>
  <c r="M309" i="13"/>
  <c r="I309" i="13"/>
  <c r="M308" i="13"/>
  <c r="I308" i="13"/>
  <c r="M307" i="13"/>
  <c r="I307" i="13"/>
  <c r="M306" i="13"/>
  <c r="I306" i="13"/>
  <c r="M305" i="13"/>
  <c r="I305" i="13"/>
  <c r="M304" i="13"/>
  <c r="I304" i="13"/>
  <c r="M303" i="13"/>
  <c r="I303" i="13"/>
  <c r="M302" i="13"/>
  <c r="N302" i="13" s="1"/>
  <c r="I302" i="13"/>
  <c r="M301" i="13"/>
  <c r="I301" i="13"/>
  <c r="M300" i="13"/>
  <c r="I300" i="13"/>
  <c r="M299" i="13"/>
  <c r="I299" i="13"/>
  <c r="M298" i="13"/>
  <c r="I298" i="13"/>
  <c r="M88" i="13"/>
  <c r="N88" i="13" s="1"/>
  <c r="I88" i="13"/>
  <c r="M145" i="13"/>
  <c r="N145" i="13" s="1"/>
  <c r="I145" i="13"/>
  <c r="L92" i="13"/>
  <c r="M92" i="13" s="1"/>
  <c r="N92" i="13" s="1"/>
  <c r="K92" i="13"/>
  <c r="I92" i="13"/>
  <c r="L133" i="13"/>
  <c r="M133" i="13" s="1"/>
  <c r="N133" i="13" s="1"/>
  <c r="I133" i="13"/>
  <c r="M127" i="13"/>
  <c r="I127" i="13"/>
  <c r="L139" i="13"/>
  <c r="M139" i="13" s="1"/>
  <c r="I139" i="13"/>
  <c r="L126" i="13"/>
  <c r="M126" i="13" s="1"/>
  <c r="N126" i="13" s="1"/>
  <c r="K126" i="13"/>
  <c r="I126" i="13"/>
  <c r="L125" i="13"/>
  <c r="M125" i="13" s="1"/>
  <c r="I125" i="13"/>
  <c r="M87" i="13"/>
  <c r="N87" i="13" s="1"/>
  <c r="I87" i="13"/>
  <c r="M132" i="13"/>
  <c r="N132" i="13" s="1"/>
  <c r="I132" i="13"/>
  <c r="M86" i="13"/>
  <c r="I86" i="13"/>
  <c r="L124" i="13"/>
  <c r="M124" i="13" s="1"/>
  <c r="N124" i="13" s="1"/>
  <c r="K124" i="13"/>
  <c r="I124" i="13"/>
  <c r="L138" i="13"/>
  <c r="M138" i="13" s="1"/>
  <c r="N138" i="13" s="1"/>
  <c r="I138" i="13"/>
  <c r="M123" i="13"/>
  <c r="N123" i="13" s="1"/>
  <c r="I123" i="13"/>
  <c r="M122" i="13"/>
  <c r="N122" i="13" s="1"/>
  <c r="I122" i="13"/>
  <c r="M121" i="13"/>
  <c r="N121" i="13" s="1"/>
  <c r="I121" i="13"/>
  <c r="M120" i="13"/>
  <c r="N120" i="13" s="1"/>
  <c r="I120" i="13"/>
  <c r="M119" i="13"/>
  <c r="N119" i="13" s="1"/>
  <c r="I119" i="13"/>
  <c r="M118" i="13"/>
  <c r="N118" i="13" s="1"/>
  <c r="I118" i="13"/>
  <c r="L117" i="13"/>
  <c r="M117" i="13" s="1"/>
  <c r="N117" i="13" s="1"/>
  <c r="K117" i="13"/>
  <c r="I117" i="13"/>
  <c r="L144" i="13"/>
  <c r="M144" i="13" s="1"/>
  <c r="N144" i="13" s="1"/>
  <c r="I144" i="13"/>
  <c r="M143" i="13"/>
  <c r="I143" i="13"/>
  <c r="M131" i="13"/>
  <c r="N131" i="13" s="1"/>
  <c r="I131" i="13"/>
  <c r="L137" i="13"/>
  <c r="M137" i="13" s="1"/>
  <c r="I137" i="13"/>
  <c r="M116" i="13"/>
  <c r="L116" i="13"/>
  <c r="K116" i="13"/>
  <c r="I116" i="13"/>
  <c r="M142" i="13"/>
  <c r="N142" i="13" s="1"/>
  <c r="I142" i="13"/>
  <c r="L115" i="13"/>
  <c r="M115" i="13" s="1"/>
  <c r="N115" i="13" s="1"/>
  <c r="I115" i="13"/>
  <c r="L114" i="13"/>
  <c r="M114" i="13" s="1"/>
  <c r="N114" i="13" s="1"/>
  <c r="I114" i="13"/>
  <c r="M151" i="13"/>
  <c r="I151" i="13"/>
  <c r="L136" i="13"/>
  <c r="M136" i="13" s="1"/>
  <c r="N136" i="13" s="1"/>
  <c r="K136" i="13"/>
  <c r="I136" i="13"/>
  <c r="M149" i="13"/>
  <c r="N149" i="13" s="1"/>
  <c r="I149" i="13"/>
  <c r="M148" i="13"/>
  <c r="I148" i="13"/>
  <c r="L113" i="13"/>
  <c r="M113" i="13" s="1"/>
  <c r="N113" i="13" s="1"/>
  <c r="K113" i="13"/>
  <c r="I113" i="13"/>
  <c r="L91" i="13"/>
  <c r="M91" i="13" s="1"/>
  <c r="N91" i="13" s="1"/>
  <c r="K91" i="13"/>
  <c r="I91" i="13"/>
  <c r="L112" i="13"/>
  <c r="M112" i="13" s="1"/>
  <c r="N112" i="13" s="1"/>
  <c r="I112" i="13"/>
  <c r="L111" i="13"/>
  <c r="M111" i="13" s="1"/>
  <c r="N111" i="13" s="1"/>
  <c r="K111" i="13"/>
  <c r="I111" i="13"/>
  <c r="L110" i="13"/>
  <c r="M110" i="13" s="1"/>
  <c r="N110" i="13" s="1"/>
  <c r="K110" i="13"/>
  <c r="I110" i="13"/>
  <c r="L85" i="13"/>
  <c r="M85" i="13" s="1"/>
  <c r="N85" i="13" s="1"/>
  <c r="I85" i="13"/>
  <c r="M84" i="13"/>
  <c r="N84" i="13" s="1"/>
  <c r="I84" i="13"/>
  <c r="L109" i="13"/>
  <c r="M109" i="13" s="1"/>
  <c r="N109" i="13" s="1"/>
  <c r="I109" i="13"/>
  <c r="M129" i="13"/>
  <c r="N129" i="13" s="1"/>
  <c r="I129" i="13"/>
  <c r="M90" i="13"/>
  <c r="N90" i="13" s="1"/>
  <c r="I90" i="13"/>
  <c r="L108" i="13"/>
  <c r="M108" i="13" s="1"/>
  <c r="N108" i="13" s="1"/>
  <c r="I108" i="13"/>
  <c r="L107" i="13"/>
  <c r="M107" i="13" s="1"/>
  <c r="N107" i="13" s="1"/>
  <c r="K107" i="13"/>
  <c r="I107" i="13"/>
  <c r="L89" i="13"/>
  <c r="M89" i="13" s="1"/>
  <c r="N89" i="13" s="1"/>
  <c r="K89" i="13"/>
  <c r="I89" i="13"/>
  <c r="M134" i="13"/>
  <c r="N134" i="13" s="1"/>
  <c r="I134" i="13"/>
  <c r="L130" i="13"/>
  <c r="K130" i="13"/>
  <c r="H130" i="13"/>
  <c r="M130" i="13" s="1"/>
  <c r="L141" i="13"/>
  <c r="M141" i="13" s="1"/>
  <c r="N141" i="13" s="1"/>
  <c r="K141" i="13"/>
  <c r="I141" i="13"/>
  <c r="M147" i="13"/>
  <c r="N147" i="13" s="1"/>
  <c r="I147" i="13"/>
  <c r="L106" i="13"/>
  <c r="M106" i="13" s="1"/>
  <c r="N106" i="13" s="1"/>
  <c r="K106" i="13"/>
  <c r="I106" i="13"/>
  <c r="M146" i="13"/>
  <c r="N146" i="13" s="1"/>
  <c r="I146" i="13"/>
  <c r="L105" i="13"/>
  <c r="M105" i="13" s="1"/>
  <c r="N105" i="13" s="1"/>
  <c r="I105" i="13"/>
  <c r="L104" i="13"/>
  <c r="M104" i="13" s="1"/>
  <c r="I104" i="13"/>
  <c r="L103" i="13"/>
  <c r="M103" i="13" s="1"/>
  <c r="N103" i="13" s="1"/>
  <c r="I103" i="13"/>
  <c r="M102" i="13"/>
  <c r="N102" i="13" s="1"/>
  <c r="I102" i="13"/>
  <c r="L101" i="13"/>
  <c r="M101" i="13" s="1"/>
  <c r="I101" i="13"/>
  <c r="L150" i="13"/>
  <c r="M150" i="13" s="1"/>
  <c r="I150" i="13"/>
  <c r="L100" i="13"/>
  <c r="M100" i="13" s="1"/>
  <c r="N100" i="13" s="1"/>
  <c r="I100" i="13"/>
  <c r="M140" i="13"/>
  <c r="N140" i="13" s="1"/>
  <c r="I140" i="13"/>
  <c r="J99" i="13"/>
  <c r="M99" i="13" s="1"/>
  <c r="L83" i="13"/>
  <c r="M83" i="13" s="1"/>
  <c r="I83" i="13"/>
  <c r="L98" i="13"/>
  <c r="M98" i="13" s="1"/>
  <c r="I98" i="13"/>
  <c r="M97" i="13"/>
  <c r="N97" i="13" s="1"/>
  <c r="I97" i="13"/>
  <c r="L135" i="13"/>
  <c r="M135" i="13" s="1"/>
  <c r="N135" i="13" s="1"/>
  <c r="I135" i="13"/>
  <c r="M96" i="13"/>
  <c r="N96" i="13" s="1"/>
  <c r="I96" i="13"/>
  <c r="L95" i="13"/>
  <c r="J95" i="13"/>
  <c r="L94" i="13"/>
  <c r="M94" i="13" s="1"/>
  <c r="N94" i="13" s="1"/>
  <c r="I94" i="13"/>
  <c r="M93" i="13"/>
  <c r="I93" i="13"/>
  <c r="J128" i="13"/>
  <c r="M128" i="13" s="1"/>
  <c r="N128" i="13" s="1"/>
  <c r="L82" i="13"/>
  <c r="M82" i="13" s="1"/>
  <c r="N82" i="13" s="1"/>
  <c r="I82" i="13"/>
  <c r="M19" i="13"/>
  <c r="N19" i="13" s="1"/>
  <c r="I19" i="13"/>
  <c r="Q81" i="13"/>
  <c r="M81" i="13"/>
  <c r="I81" i="13"/>
  <c r="L80" i="13"/>
  <c r="M80" i="13" s="1"/>
  <c r="N80" i="13" s="1"/>
  <c r="K80" i="13"/>
  <c r="I80" i="13"/>
  <c r="L78" i="13"/>
  <c r="M78" i="13" s="1"/>
  <c r="N78" i="13" s="1"/>
  <c r="K78" i="13"/>
  <c r="I78" i="13"/>
  <c r="L77" i="13"/>
  <c r="Q77" i="13" s="1"/>
  <c r="I77" i="13"/>
  <c r="L76" i="13"/>
  <c r="M76" i="13" s="1"/>
  <c r="K76" i="13"/>
  <c r="I76" i="13"/>
  <c r="Q297" i="13"/>
  <c r="M297" i="13"/>
  <c r="N297" i="13" s="1"/>
  <c r="I297" i="13"/>
  <c r="Q296" i="13"/>
  <c r="M296" i="13"/>
  <c r="N296" i="13" s="1"/>
  <c r="I296" i="13"/>
  <c r="Q295" i="13"/>
  <c r="M295" i="13"/>
  <c r="I295" i="13"/>
  <c r="Q294" i="13"/>
  <c r="M294" i="13"/>
  <c r="I294" i="13"/>
  <c r="Q48" i="13"/>
  <c r="M48" i="13"/>
  <c r="I48" i="13"/>
  <c r="Q74" i="13"/>
  <c r="M74" i="13"/>
  <c r="I74" i="13"/>
  <c r="Q36" i="13"/>
  <c r="M36" i="13"/>
  <c r="I36" i="13"/>
  <c r="L37" i="13"/>
  <c r="Q37" i="13" s="1"/>
  <c r="I37" i="13"/>
  <c r="Q73" i="13"/>
  <c r="M73" i="13"/>
  <c r="N73" i="13" s="1"/>
  <c r="I73" i="13"/>
  <c r="L35" i="13"/>
  <c r="M35" i="13" s="1"/>
  <c r="N35" i="13" s="1"/>
  <c r="K35" i="13"/>
  <c r="I35" i="13"/>
  <c r="L34" i="13"/>
  <c r="M34" i="13" s="1"/>
  <c r="K34" i="13"/>
  <c r="I34" i="13"/>
  <c r="M33" i="13"/>
  <c r="K33" i="13"/>
  <c r="Q33" i="13" s="1"/>
  <c r="I33" i="13"/>
  <c r="Q72" i="13"/>
  <c r="M72" i="13"/>
  <c r="I72" i="13"/>
  <c r="Q71" i="13"/>
  <c r="M71" i="13"/>
  <c r="I71" i="13"/>
  <c r="Q70" i="13"/>
  <c r="M70" i="13"/>
  <c r="I70" i="13"/>
  <c r="Q69" i="13"/>
  <c r="M69" i="13"/>
  <c r="N69" i="13" s="1"/>
  <c r="I69" i="13"/>
  <c r="Q68" i="13"/>
  <c r="M68" i="13"/>
  <c r="N68" i="13" s="1"/>
  <c r="I68" i="13"/>
  <c r="Q67" i="13"/>
  <c r="M67" i="13"/>
  <c r="N67" i="13" s="1"/>
  <c r="I67" i="13"/>
  <c r="Q66" i="13"/>
  <c r="M66" i="13"/>
  <c r="N66" i="13" s="1"/>
  <c r="I66" i="13"/>
  <c r="Q65" i="13"/>
  <c r="M65" i="13"/>
  <c r="N65" i="13" s="1"/>
  <c r="I65" i="13"/>
  <c r="Q64" i="13"/>
  <c r="M64" i="13"/>
  <c r="N64" i="13" s="1"/>
  <c r="I64" i="13"/>
  <c r="Q63" i="13"/>
  <c r="M63" i="13"/>
  <c r="N63" i="13" s="1"/>
  <c r="I63" i="13"/>
  <c r="Q62" i="13"/>
  <c r="M62" i="13"/>
  <c r="N62" i="13" s="1"/>
  <c r="I62" i="13"/>
  <c r="Q61" i="13"/>
  <c r="M61" i="13"/>
  <c r="N61" i="13" s="1"/>
  <c r="I61" i="13"/>
  <c r="Q60" i="13"/>
  <c r="M60" i="13"/>
  <c r="N60" i="13" s="1"/>
  <c r="I60" i="13"/>
  <c r="L59" i="13"/>
  <c r="Q59" i="13" s="1"/>
  <c r="I59" i="13"/>
  <c r="L29" i="13"/>
  <c r="Q29" i="13" s="1"/>
  <c r="I29" i="13"/>
  <c r="Q31" i="13"/>
  <c r="M31" i="13"/>
  <c r="N31" i="13" s="1"/>
  <c r="I31" i="13"/>
  <c r="Q30" i="13"/>
  <c r="M30" i="13"/>
  <c r="I30" i="13"/>
  <c r="Q40" i="13"/>
  <c r="M40" i="13"/>
  <c r="N40" i="13" s="1"/>
  <c r="I40" i="13"/>
  <c r="L58" i="13"/>
  <c r="Q58" i="13" s="1"/>
  <c r="I58" i="13"/>
  <c r="L47" i="13"/>
  <c r="M47" i="13" s="1"/>
  <c r="K47" i="13"/>
  <c r="I47" i="13"/>
  <c r="L46" i="13"/>
  <c r="Q46" i="13" s="1"/>
  <c r="I46" i="13"/>
  <c r="M45" i="13"/>
  <c r="K45" i="13"/>
  <c r="Q45" i="13" s="1"/>
  <c r="I45" i="13"/>
  <c r="L44" i="13"/>
  <c r="Q44" i="13" s="1"/>
  <c r="I44" i="13"/>
  <c r="L55" i="13"/>
  <c r="Q55" i="13" s="1"/>
  <c r="I55" i="13"/>
  <c r="L54" i="13"/>
  <c r="Q54" i="13" s="1"/>
  <c r="I54" i="13"/>
  <c r="L43" i="13"/>
  <c r="M43" i="13" s="1"/>
  <c r="N43" i="13" s="1"/>
  <c r="K43" i="13"/>
  <c r="I43" i="13"/>
  <c r="L53" i="13"/>
  <c r="M53" i="13" s="1"/>
  <c r="N53" i="13" s="1"/>
  <c r="K53" i="13"/>
  <c r="I53" i="13"/>
  <c r="N75" i="13"/>
  <c r="L75" i="13"/>
  <c r="Q75" i="13" s="1"/>
  <c r="I75" i="13"/>
  <c r="L57" i="13"/>
  <c r="K57" i="13"/>
  <c r="H57" i="13"/>
  <c r="I57" i="13" s="1"/>
  <c r="Q52" i="13"/>
  <c r="M52" i="13"/>
  <c r="N52" i="13" s="1"/>
  <c r="I52" i="13"/>
  <c r="L51" i="13"/>
  <c r="M51" i="13" s="1"/>
  <c r="N51" i="13" s="1"/>
  <c r="K51" i="13"/>
  <c r="I51" i="13"/>
  <c r="L56" i="13"/>
  <c r="M56" i="13" s="1"/>
  <c r="K56" i="13"/>
  <c r="I56" i="13"/>
  <c r="M50" i="13"/>
  <c r="N50" i="13" s="1"/>
  <c r="K50" i="13"/>
  <c r="Q50" i="13" s="1"/>
  <c r="I50" i="13"/>
  <c r="L32" i="13"/>
  <c r="M32" i="13" s="1"/>
  <c r="K32" i="13"/>
  <c r="I32" i="13"/>
  <c r="L42" i="13"/>
  <c r="M42" i="13" s="1"/>
  <c r="N42" i="13" s="1"/>
  <c r="K42" i="13"/>
  <c r="I42" i="13"/>
  <c r="L41" i="13"/>
  <c r="M41" i="13" s="1"/>
  <c r="I41" i="13"/>
  <c r="L39" i="13"/>
  <c r="M39" i="13" s="1"/>
  <c r="N39" i="13" s="1"/>
  <c r="K39" i="13"/>
  <c r="I39" i="13"/>
  <c r="L28" i="13"/>
  <c r="M28" i="13" s="1"/>
  <c r="N28" i="13" s="1"/>
  <c r="K28" i="13"/>
  <c r="I28" i="13"/>
  <c r="L38" i="13"/>
  <c r="M38" i="13" s="1"/>
  <c r="N38" i="13" s="1"/>
  <c r="K38" i="13"/>
  <c r="I38" i="13"/>
  <c r="Q49" i="13"/>
  <c r="M49" i="13"/>
  <c r="N49" i="13" s="1"/>
  <c r="I49" i="13"/>
  <c r="Q203" i="13"/>
  <c r="M203" i="13"/>
  <c r="I203" i="13"/>
  <c r="Q293" i="13"/>
  <c r="M293" i="13"/>
  <c r="N293" i="13" s="1"/>
  <c r="I293" i="13"/>
  <c r="L27" i="13"/>
  <c r="Q27" i="13" s="1"/>
  <c r="I27" i="13"/>
  <c r="L26" i="13"/>
  <c r="M26" i="13" s="1"/>
  <c r="I26" i="13"/>
  <c r="Q25" i="13"/>
  <c r="M25" i="13"/>
  <c r="N25" i="13" s="1"/>
  <c r="I25" i="13"/>
  <c r="L24" i="13"/>
  <c r="M24" i="13" s="1"/>
  <c r="N24" i="13" s="1"/>
  <c r="K24" i="13"/>
  <c r="I24" i="13"/>
  <c r="L23" i="13"/>
  <c r="Q23" i="13" s="1"/>
  <c r="I23" i="13"/>
  <c r="L22" i="13"/>
  <c r="M22" i="13" s="1"/>
  <c r="N22" i="13" s="1"/>
  <c r="K22" i="13"/>
  <c r="I22" i="13"/>
  <c r="L21" i="13"/>
  <c r="M21" i="13" s="1"/>
  <c r="K21" i="13"/>
  <c r="I21" i="13"/>
  <c r="L20" i="13"/>
  <c r="M20" i="13" s="1"/>
  <c r="K20" i="13"/>
  <c r="I20" i="13"/>
  <c r="Q292" i="13"/>
  <c r="M292" i="13"/>
  <c r="I292" i="13"/>
  <c r="Q291" i="13"/>
  <c r="M291" i="13"/>
  <c r="I291" i="13"/>
  <c r="Q18" i="13"/>
  <c r="M18" i="13"/>
  <c r="I18" i="13"/>
  <c r="L17" i="13"/>
  <c r="M17" i="13" s="1"/>
  <c r="N17" i="13" s="1"/>
  <c r="I17" i="13"/>
  <c r="L16" i="13"/>
  <c r="Q16" i="13" s="1"/>
  <c r="I16" i="13"/>
  <c r="L15" i="13"/>
  <c r="M15" i="13" s="1"/>
  <c r="N15" i="13" s="1"/>
  <c r="I15" i="13"/>
  <c r="L14" i="13"/>
  <c r="Q14" i="13" s="1"/>
  <c r="I14" i="13"/>
  <c r="L13" i="13"/>
  <c r="M13" i="13" s="1"/>
  <c r="N13" i="13" s="1"/>
  <c r="K13" i="13"/>
  <c r="I13" i="13"/>
  <c r="L12" i="13"/>
  <c r="M12" i="13" s="1"/>
  <c r="N12" i="13" s="1"/>
  <c r="K12" i="13"/>
  <c r="I12" i="13"/>
  <c r="L11" i="13"/>
  <c r="M11" i="13" s="1"/>
  <c r="N11" i="13" s="1"/>
  <c r="K11" i="13"/>
  <c r="I11" i="13"/>
  <c r="L10" i="13"/>
  <c r="M10" i="13" s="1"/>
  <c r="N10" i="13" s="1"/>
  <c r="K10" i="13"/>
  <c r="I10" i="13"/>
  <c r="N9" i="13"/>
  <c r="L9" i="13"/>
  <c r="M9" i="13" s="1"/>
  <c r="K9" i="13"/>
  <c r="I9" i="13"/>
  <c r="L8" i="13"/>
  <c r="M8" i="13" s="1"/>
  <c r="N8" i="13" s="1"/>
  <c r="K8" i="13"/>
  <c r="I8" i="13"/>
  <c r="N7" i="13"/>
  <c r="L7" i="13"/>
  <c r="M7" i="13" s="1"/>
  <c r="K7" i="13"/>
  <c r="I7" i="13"/>
  <c r="L6" i="13"/>
  <c r="Q6" i="13" s="1"/>
  <c r="I6" i="13"/>
  <c r="L4" i="13"/>
  <c r="M4" i="13" s="1"/>
  <c r="K4" i="13"/>
  <c r="I4" i="13"/>
  <c r="L5" i="13"/>
  <c r="M5" i="13" s="1"/>
  <c r="K5" i="13"/>
  <c r="I5" i="13"/>
  <c r="N4" i="13" l="1"/>
  <c r="L285" i="13"/>
  <c r="Q43" i="13"/>
  <c r="M54" i="13"/>
  <c r="N54" i="13" s="1"/>
  <c r="Q4" i="13"/>
  <c r="Q7" i="13"/>
  <c r="Q8" i="13"/>
  <c r="Q11" i="13"/>
  <c r="Q13" i="13"/>
  <c r="M14" i="13"/>
  <c r="Q21" i="13"/>
  <c r="Q22" i="13"/>
  <c r="M23" i="13"/>
  <c r="N23" i="13" s="1"/>
  <c r="Q56" i="13"/>
  <c r="Q51" i="13"/>
  <c r="M77" i="13"/>
  <c r="Q78" i="13"/>
  <c r="M160" i="13"/>
  <c r="N160" i="13" s="1"/>
  <c r="I276" i="13"/>
  <c r="M200" i="13"/>
  <c r="N200" i="13" s="1"/>
  <c r="Q38" i="13"/>
  <c r="Q28" i="13"/>
  <c r="Q39" i="13"/>
  <c r="Q42" i="13"/>
  <c r="Q32" i="13"/>
  <c r="M44" i="13"/>
  <c r="M46" i="13"/>
  <c r="M59" i="13"/>
  <c r="Q34" i="13"/>
  <c r="Q35" i="13"/>
  <c r="M37" i="13"/>
  <c r="M95" i="13"/>
  <c r="N95" i="13" s="1"/>
  <c r="I160" i="13"/>
  <c r="M183" i="13"/>
  <c r="N183" i="13" s="1"/>
  <c r="Q15" i="13"/>
  <c r="Q17" i="13"/>
  <c r="Q9" i="13"/>
  <c r="Q10" i="13"/>
  <c r="Q12" i="13"/>
  <c r="Q24" i="13"/>
  <c r="Q57" i="13"/>
  <c r="Q53" i="13"/>
  <c r="Q76" i="13"/>
  <c r="Q80" i="13"/>
  <c r="I128" i="13"/>
  <c r="I95" i="13"/>
  <c r="I130" i="13"/>
  <c r="I99" i="13"/>
  <c r="Q5" i="13"/>
  <c r="Q20" i="13"/>
  <c r="Q26" i="13"/>
  <c r="Q41" i="13"/>
  <c r="M57" i="13"/>
  <c r="N57" i="13" s="1"/>
  <c r="Q47" i="13"/>
  <c r="M6" i="13"/>
  <c r="N6" i="13" s="1"/>
  <c r="M16" i="13"/>
  <c r="N16" i="13" s="1"/>
  <c r="M27" i="13"/>
  <c r="N27" i="13" s="1"/>
  <c r="M75" i="13"/>
  <c r="M55" i="13"/>
  <c r="N55" i="13" s="1"/>
  <c r="M58" i="13"/>
  <c r="N58" i="13" s="1"/>
  <c r="M29" i="13"/>
  <c r="N29" i="13" s="1"/>
  <c r="M285" i="13" l="1"/>
  <c r="I285" i="13"/>
  <c r="N285" i="13"/>
  <c r="Q217" i="16" l="1"/>
  <c r="M217" i="16"/>
  <c r="N217" i="16" l="1"/>
  <c r="N333" i="16" s="1"/>
  <c r="M333" i="16"/>
</calcChain>
</file>

<file path=xl/comments1.xml><?xml version="1.0" encoding="utf-8"?>
<comments xmlns="http://schemas.openxmlformats.org/spreadsheetml/2006/main">
  <authors>
    <author>Author</author>
  </authors>
  <commentList>
    <comment ref="B21" authorId="0">
      <text>
        <r>
          <rPr>
            <b/>
            <sz val="9"/>
            <color indexed="81"/>
            <rFont val="Tahoma"/>
            <family val="2"/>
          </rPr>
          <t xml:space="preserve">same as JLG </t>
        </r>
        <r>
          <rPr>
            <sz val="9"/>
            <color indexed="81"/>
            <rFont val="Tahoma"/>
            <family val="2"/>
          </rPr>
          <t xml:space="preserve">
</t>
        </r>
      </text>
    </comment>
    <comment ref="K46" authorId="0">
      <text>
        <r>
          <rPr>
            <b/>
            <sz val="9"/>
            <color indexed="81"/>
            <rFont val="Tahoma"/>
            <family val="2"/>
          </rPr>
          <t>Cheque held due to circular</t>
        </r>
        <r>
          <rPr>
            <sz val="9"/>
            <color indexed="81"/>
            <rFont val="Tahoma"/>
            <family val="2"/>
          </rPr>
          <t xml:space="preserve">
</t>
        </r>
      </text>
    </comment>
    <comment ref="H57" authorId="0">
      <text>
        <r>
          <rPr>
            <b/>
            <sz val="9"/>
            <color indexed="81"/>
            <rFont val="Tahoma"/>
            <family val="2"/>
          </rPr>
          <t>rent upto dec 2016</t>
        </r>
        <r>
          <rPr>
            <sz val="9"/>
            <color indexed="81"/>
            <rFont val="Tahoma"/>
            <family val="2"/>
          </rPr>
          <t xml:space="preserve">
</t>
        </r>
      </text>
    </comment>
    <comment ref="H151" authorId="0">
      <text>
        <r>
          <rPr>
            <b/>
            <sz val="9"/>
            <color indexed="81"/>
            <rFont val="Tahoma"/>
            <family val="2"/>
          </rPr>
          <t>40 lakhs for 16-17
60 lakhs for 17-18</t>
        </r>
      </text>
    </comment>
    <comment ref="H168" authorId="0">
      <text>
        <r>
          <rPr>
            <b/>
            <sz val="9"/>
            <color indexed="81"/>
            <rFont val="Tahoma"/>
            <family val="2"/>
          </rPr>
          <t>sl 27</t>
        </r>
      </text>
    </comment>
    <comment ref="K169" authorId="0">
      <text>
        <r>
          <rPr>
            <b/>
            <sz val="9"/>
            <color indexed="81"/>
            <rFont val="Tahoma"/>
            <family val="2"/>
          </rPr>
          <t>sn 09</t>
        </r>
        <r>
          <rPr>
            <sz val="9"/>
            <color indexed="81"/>
            <rFont val="Tahoma"/>
            <family val="2"/>
          </rPr>
          <t xml:space="preserve">
</t>
        </r>
      </text>
    </comment>
    <comment ref="J219" authorId="0">
      <text>
        <r>
          <rPr>
            <sz val="9"/>
            <color indexed="81"/>
            <rFont val="Tahoma"/>
            <family val="2"/>
          </rPr>
          <t xml:space="preserve">Payment done in 14-15
</t>
        </r>
      </text>
    </comment>
    <comment ref="K233" authorId="0">
      <text>
        <r>
          <rPr>
            <sz val="9"/>
            <color indexed="81"/>
            <rFont val="Tahoma"/>
            <family val="2"/>
          </rPr>
          <t>@Rs. 5900/- per patient for 18 patients=rs. 1.06 lakhs</t>
        </r>
      </text>
    </comment>
    <comment ref="L260" authorId="0">
      <text>
        <r>
          <rPr>
            <b/>
            <sz val="9"/>
            <color indexed="81"/>
            <rFont val="Tahoma"/>
            <family val="2"/>
          </rPr>
          <t>SES</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B22" authorId="0">
      <text>
        <r>
          <rPr>
            <b/>
            <sz val="9"/>
            <color indexed="81"/>
            <rFont val="Tahoma"/>
            <family val="2"/>
          </rPr>
          <t xml:space="preserve">same as JLG </t>
        </r>
        <r>
          <rPr>
            <sz val="9"/>
            <color indexed="81"/>
            <rFont val="Tahoma"/>
            <family val="2"/>
          </rPr>
          <t xml:space="preserve">
</t>
        </r>
      </text>
    </comment>
    <comment ref="K47" authorId="0">
      <text>
        <r>
          <rPr>
            <b/>
            <sz val="9"/>
            <color indexed="81"/>
            <rFont val="Tahoma"/>
            <family val="2"/>
          </rPr>
          <t>Cheque held due to circular</t>
        </r>
        <r>
          <rPr>
            <sz val="9"/>
            <color indexed="81"/>
            <rFont val="Tahoma"/>
            <family val="2"/>
          </rPr>
          <t xml:space="preserve">
</t>
        </r>
      </text>
    </comment>
    <comment ref="H59" authorId="0">
      <text>
        <r>
          <rPr>
            <b/>
            <sz val="9"/>
            <color indexed="81"/>
            <rFont val="Tahoma"/>
            <family val="2"/>
          </rPr>
          <t>rent upto dec 2016</t>
        </r>
        <r>
          <rPr>
            <sz val="9"/>
            <color indexed="81"/>
            <rFont val="Tahoma"/>
            <family val="2"/>
          </rPr>
          <t xml:space="preserve">
</t>
        </r>
      </text>
    </comment>
    <comment ref="L140" authorId="0">
      <text>
        <r>
          <rPr>
            <b/>
            <sz val="9"/>
            <color indexed="81"/>
            <rFont val="Tahoma"/>
            <family val="2"/>
          </rPr>
          <t>SES</t>
        </r>
      </text>
    </comment>
    <comment ref="H172" authorId="0">
      <text>
        <r>
          <rPr>
            <b/>
            <sz val="9"/>
            <color indexed="81"/>
            <rFont val="Tahoma"/>
            <family val="2"/>
          </rPr>
          <t>40 lakhs for 16-17
60 lakhs for 17-18</t>
        </r>
      </text>
    </comment>
    <comment ref="L175" authorId="0">
      <text>
        <r>
          <rPr>
            <b/>
            <sz val="9"/>
            <color indexed="81"/>
            <rFont val="Tahoma"/>
            <family val="2"/>
          </rPr>
          <t>5.88 SES</t>
        </r>
        <r>
          <rPr>
            <sz val="9"/>
            <color indexed="81"/>
            <rFont val="Tahoma"/>
            <family val="2"/>
          </rPr>
          <t xml:space="preserve">
</t>
        </r>
      </text>
    </comment>
    <comment ref="L181" authorId="0">
      <text>
        <r>
          <rPr>
            <b/>
            <sz val="9"/>
            <color indexed="81"/>
            <rFont val="Tahoma"/>
            <family val="2"/>
          </rPr>
          <t xml:space="preserve">only SES
</t>
        </r>
        <r>
          <rPr>
            <sz val="9"/>
            <color indexed="81"/>
            <rFont val="Tahoma"/>
            <family val="2"/>
          </rPr>
          <t xml:space="preserve">
</t>
        </r>
      </text>
    </comment>
    <comment ref="H194" authorId="0">
      <text>
        <r>
          <rPr>
            <b/>
            <sz val="9"/>
            <color indexed="81"/>
            <rFont val="Tahoma"/>
            <family val="2"/>
          </rPr>
          <t>sl 27</t>
        </r>
      </text>
    </comment>
    <comment ref="K195" authorId="0">
      <text>
        <r>
          <rPr>
            <b/>
            <sz val="9"/>
            <color indexed="81"/>
            <rFont val="Tahoma"/>
            <family val="2"/>
          </rPr>
          <t>sn 09</t>
        </r>
        <r>
          <rPr>
            <sz val="9"/>
            <color indexed="81"/>
            <rFont val="Tahoma"/>
            <family val="2"/>
          </rPr>
          <t xml:space="preserve">
</t>
        </r>
      </text>
    </comment>
    <comment ref="L237" authorId="0">
      <text>
        <r>
          <rPr>
            <b/>
            <sz val="9"/>
            <color indexed="81"/>
            <rFont val="Tahoma"/>
            <family val="2"/>
          </rPr>
          <t>1 lac ist inst returned wrong bank a/c</t>
        </r>
        <r>
          <rPr>
            <sz val="9"/>
            <color indexed="81"/>
            <rFont val="Tahoma"/>
            <family val="2"/>
          </rPr>
          <t xml:space="preserve">
</t>
        </r>
      </text>
    </comment>
    <comment ref="J252" authorId="0">
      <text>
        <r>
          <rPr>
            <sz val="9"/>
            <color indexed="81"/>
            <rFont val="Tahoma"/>
            <family val="2"/>
          </rPr>
          <t xml:space="preserve">Payment done in 14-15
</t>
        </r>
      </text>
    </comment>
    <comment ref="K266" authorId="0">
      <text>
        <r>
          <rPr>
            <sz val="9"/>
            <color indexed="81"/>
            <rFont val="Tahoma"/>
            <family val="2"/>
          </rPr>
          <t>@Rs. 5900/- per patient for 18 patients=rs. 1.06 lakhs</t>
        </r>
      </text>
    </comment>
    <comment ref="L301" authorId="0">
      <text>
        <r>
          <rPr>
            <b/>
            <sz val="9"/>
            <color indexed="81"/>
            <rFont val="Tahoma"/>
            <family val="2"/>
          </rPr>
          <t>SES</t>
        </r>
        <r>
          <rPr>
            <sz val="9"/>
            <color indexed="81"/>
            <rFont val="Tahoma"/>
            <family val="2"/>
          </rPr>
          <t xml:space="preserve">
</t>
        </r>
      </text>
    </comment>
  </commentList>
</comments>
</file>

<file path=xl/sharedStrings.xml><?xml version="1.0" encoding="utf-8"?>
<sst xmlns="http://schemas.openxmlformats.org/spreadsheetml/2006/main" count="3230" uniqueCount="976">
  <si>
    <t>Head -I : Agri Allied/Income Generation Activities</t>
  </si>
  <si>
    <t>CSR Expenditure 2016-17</t>
  </si>
  <si>
    <t>to chck inst</t>
  </si>
  <si>
    <t>SN</t>
  </si>
  <si>
    <t xml:space="preserve"> Proposal No</t>
  </si>
  <si>
    <t>Executing agency</t>
  </si>
  <si>
    <t>Details of Project</t>
  </si>
  <si>
    <t>Remarks if any</t>
  </si>
  <si>
    <t>Sch-VII item</t>
  </si>
  <si>
    <t>Approved Amount</t>
  </si>
  <si>
    <t>Payment released 2015-16</t>
  </si>
  <si>
    <t>Payment released 2016-17</t>
  </si>
  <si>
    <t>16-17 as per GL</t>
  </si>
  <si>
    <t xml:space="preserve">Balance amt to be released </t>
  </si>
  <si>
    <t>Commitment 2016-17</t>
  </si>
  <si>
    <t>TERI</t>
  </si>
  <si>
    <t>Providing 100 Solar home lighting system (SHLS) to BPL Household in 2 nos un Electrified Villages within 10 KM radius of Refinery</t>
  </si>
  <si>
    <t>Complete</t>
  </si>
  <si>
    <t>Social Welfare (Item No. (iii) of Schedule-VII)</t>
  </si>
  <si>
    <t>Snacks for TERI inauguration</t>
  </si>
  <si>
    <t>One time</t>
  </si>
  <si>
    <t xml:space="preserve">Rashtriya Gramin Vikash Nidhi (RGVN) </t>
  </si>
  <si>
    <t>Promotion of Livelihood through cultivation of mushroom covering 10 nos. of SHG (including women SHG) in adjoining areas of Refinery, Golaghat as  2nd phases;  No of Beneficiaries :70 nos.</t>
  </si>
  <si>
    <t>Contribution to SC/ST/OBC/Minorities/Women funds (Item No. (viii) of Schedule-VII)</t>
  </si>
  <si>
    <t>Sri Kumud Hatibaruah</t>
  </si>
  <si>
    <t>Fin Support to Local Entreprenuer for set up a Candle making unit</t>
  </si>
  <si>
    <t>Skill Development and Livelihood (Item No. (ii) of Schedule-VII)</t>
  </si>
  <si>
    <t>ITI, Bokakhat</t>
  </si>
  <si>
    <t>Organize skill development training for 20 girls' students within 15 KM radius of Refinery in cutting &amp; tailoring trade at ITI, Bokakhat</t>
  </si>
  <si>
    <t>Boraikhuwa Model Village development committee</t>
  </si>
  <si>
    <t>Livelihood and Sanitation programme at Flood affected SC/ST village Boraikhowa</t>
  </si>
  <si>
    <t>Ongoing</t>
  </si>
  <si>
    <t>IIE</t>
  </si>
  <si>
    <t>Upgradation of skill entrepreneurship of handloom weavers of nearby villages through product development and diversification for successful operation and sustainability of Ponka Weaving centre.</t>
  </si>
  <si>
    <t>Tejimala Bayan Silpa Samabai Samittee</t>
  </si>
  <si>
    <t>Providing Fin support for Production of high value weaving items &amp; construction of work shed</t>
  </si>
  <si>
    <t>Seuj Dhoritri PPS, Boraikhua Noloni PPS</t>
  </si>
  <si>
    <t>Financial support for tractorisation of Bodo paddy</t>
  </si>
  <si>
    <t>Poverty Alleviation (Item No. (i) of Schedule-VII)</t>
  </si>
  <si>
    <t>PRERONA</t>
  </si>
  <si>
    <t>Skill Developement training for 40 PwDs in Jorhat &amp; Golaghat District in collaboration with VRCH &amp; Prerona</t>
  </si>
  <si>
    <t xml:space="preserve">USHA </t>
  </si>
  <si>
    <t>Skill devp &amp; promotion of women entrepreneurship on sewing &amp; Stitching for 45 days training with customisation on Indian garments &amp; creative items for 20 nos women</t>
  </si>
  <si>
    <t>Sri Jaduram Baruah, Sri Haren Gogoi,Sri Prasanta Kr. Rajkhowa, Sri Rameswar Bora, Sri Balu Ghatowar, (Ponka Gaon).</t>
  </si>
  <si>
    <t>Providing financial asssistance  to  05 nos. of Martyr's families of Ponka gaon as a part of income generation activities through Piggery &amp; Goatery farms.</t>
  </si>
  <si>
    <t>AAU Jorhat</t>
  </si>
  <si>
    <t>Providing Financial support for project on sustainable agriculture practices in surrounding villages</t>
  </si>
  <si>
    <t>chck inst</t>
  </si>
  <si>
    <t>Centre for Humanistic Development, Ghy</t>
  </si>
  <si>
    <t>Providing technical &amp; administrative assistance to various Joint Liability Group (15 JLG) for successful implementation of livelihood shemes awarded through NRL CSR schemes as implementation partner. Scope of the job include: Capacity building workshop &amp; provide hand holding support during implementation, establish credit linkage with financial institute, support from market linkage of products of JLG, coordinate with various govt. agiencies such as Agri dept., Veterinary dept., Fishery dept., etc. for technical guidence &amp; conduct impact assessment study &amp; submission of final report.</t>
  </si>
  <si>
    <t>Food Craft Institute, Samaguri</t>
  </si>
  <si>
    <t>Sponsoring 19  students from nearby areas for pursuing Hospitality Management  courses at food Craft Institute, Samaguri as part of skill development initiative "Uttoron" of NRL under its CSR programme.</t>
  </si>
  <si>
    <t>Smti Enuprabha Bora, Pankial gaon, Doigrung</t>
  </si>
  <si>
    <t>Supporting women entrepreneur for establishment of sale centre of Handloom fabric at Doigrung.</t>
  </si>
  <si>
    <t>Meghalaya Institute of Entrepreneurship</t>
  </si>
  <si>
    <t>Providing financial support for 05 days training in Candle Making for Khasi Hills and Garo Hills of Shillong.</t>
  </si>
  <si>
    <t>Kanaklata Mohila Bayan Somobai Somiti</t>
  </si>
  <si>
    <t xml:space="preserve">Financial support for construction of shed and providing looms &amp; Raw materials of  Kanaklata Mohila Bayan Somobai Somiti , Narayanpur. </t>
  </si>
  <si>
    <t>M/s TERI</t>
  </si>
  <si>
    <t>Providing Solar Home Lighting System in 04 unelectrified villages adjacent to Numaligarh refinery Limited. (Covering around 200 households).</t>
  </si>
  <si>
    <t>Ms Runu Baruah, Budhbari, Kamargaon.</t>
  </si>
  <si>
    <t>Financial support to physically challenged girl towards promotion of livelihood through providing DTP equipment.</t>
  </si>
  <si>
    <t>DC Office, Golaghat</t>
  </si>
  <si>
    <t>Providing financial Support  for setting up 'Community Nursery for Sali Seedling' at Bongaon, Golaghat for providing Sali Seed to flood affected farmers of nearby areas.</t>
  </si>
  <si>
    <t>Rashtriya Gramin Vikas Nidhi, Guwahati</t>
  </si>
  <si>
    <t>Support for repairing &amp; renovation of Mushroom Production unit at Pankagrant area &amp; providing dryer for packaging of cultivated mushroom.</t>
  </si>
  <si>
    <t>Approved</t>
  </si>
  <si>
    <t>Sub Divisional Agril Officer, Bokakhat.</t>
  </si>
  <si>
    <t>Financial Support  for setting up 'Community Nursery ' at Panbari, Bokakhat  providing through Seed, Ploughing, Fertilizer, Pesticide etc. to flood affected farmers of nearby areas.</t>
  </si>
  <si>
    <t>CSRSC, NRL</t>
  </si>
  <si>
    <t>Skill development program on TIG welding at ITI Jorhat under project "Uttoron"</t>
  </si>
  <si>
    <t>Registrar Office , Golaghat</t>
  </si>
  <si>
    <t>Lease deed registration with ASIDC for proposed land for VKNRL Nursing School</t>
  </si>
  <si>
    <t>excess payment</t>
  </si>
  <si>
    <t>M/s Das &amp; Sons, Jintu Sarma, Master trainer of Samabay Samiti.</t>
  </si>
  <si>
    <t>Financial support for repairing of existing handlooms &amp; powerlooms of Ponka Weaving centre &amp; proviiding 02 new handlooms.</t>
  </si>
  <si>
    <t>Society for Entrepreneurship development</t>
  </si>
  <si>
    <t>Financial assistance for conducting 4 days training programme at Agartala on manufacuring of candle for 20 candidates.</t>
  </si>
  <si>
    <t>Dept. of Home Science, AAU Jorhat</t>
  </si>
  <si>
    <t>Financial assistance for skill development through a training on Candle making</t>
  </si>
  <si>
    <t>ASIDC</t>
  </si>
  <si>
    <t>Monthly Lease rental of land for VKNRL Nursing school</t>
  </si>
  <si>
    <t>Providing training for Contract Workers</t>
  </si>
  <si>
    <t>Kumud Hatibaruah</t>
  </si>
  <si>
    <t>Fin. Assistance to local entreprenuer for enhancing his existing candle making unit including cost of raw material</t>
  </si>
  <si>
    <t>Kaziranga University, Jorhat</t>
  </si>
  <si>
    <t>Baseline study for Developing Action Plan for Livelihood Generation and Infrastructure Improvement for surrounding area of NRL (5KM)</t>
  </si>
  <si>
    <t>Expenditure on gift to student &amp; local guide renumeration</t>
  </si>
  <si>
    <t>ASEB</t>
  </si>
  <si>
    <t>Payment for outstanding electricity bill of Ponka Janajati Taat Silpa Samabai Samiti</t>
  </si>
  <si>
    <t>Providing mechanize Agri farm equipment to farmers of 07 nearby villages.</t>
  </si>
  <si>
    <t>Initiated</t>
  </si>
  <si>
    <t>Achut Das, Rajabari Borchapori Bagisa</t>
  </si>
  <si>
    <t>Financial support to visually impaired person for upgradation of his existing bicycle repairing shop s a means of  self employment.</t>
  </si>
  <si>
    <t>The National Small Industries Corporation Ltd., Guwahati/ Mizoram KVI Board</t>
  </si>
  <si>
    <t>Conducting a training courses on Candle Making for unemployed youths of North-East.</t>
  </si>
  <si>
    <t>District Agri Officer , Golaghat</t>
  </si>
  <si>
    <t>Financial Support to District Agri Department of Golaghat to manage and control devastating pest attack of armyworm on sali paddy cultivation at Golaghat district covering 422 hactre area. This includes Procurement and distribution of pesticide and sprayer in Bokakhat, Dhemaji and Bongaon area of Golaghat District.</t>
  </si>
  <si>
    <t>Ponka gaon Krishi Suraksha Samittee.</t>
  </si>
  <si>
    <t>Distribution of potato seeds among the farmers of nearby villages.</t>
  </si>
  <si>
    <t>Manipur Khadi &amp; Village Industries Board Lamphelpat, Imphal.</t>
  </si>
  <si>
    <t>Bolin Bailung</t>
  </si>
  <si>
    <t xml:space="preserve">Financial support to Sri Bolin Bailung for up-gradation of his existing Furniture shop at Ouguri, Rajabari. </t>
  </si>
  <si>
    <t>M/s Bokial Kniting, Cutting Handloom Production Centre, Jackson Grant, Bokial.</t>
  </si>
  <si>
    <t>Financial support for construction of a house to facilitate training of unemployed girls students in knitting,cutting,handlooms and other handicrafts at Jackson grant.</t>
  </si>
  <si>
    <t>Khadi &amp; Village Industries Commission, New Delhi</t>
  </si>
  <si>
    <t>Providing financial assistance to Khadi &amp; Village Industries Commission, New Delhi for procurement of 35 nos of Charkha to be distributed among Khadi Artisans of rural India for sustainable livelihood.</t>
  </si>
  <si>
    <t>Rural Development (Item No. (x) of Schedule-VII)</t>
  </si>
  <si>
    <t>Janambhumi Janakalyan</t>
  </si>
  <si>
    <t>Financial support for organizing a Silk &amp; Dye workshop at Iora-The Retreat, Kaziranga from 02nd to 11th Dec/2016 by to M/s Janambhumi Janakalyan, Jorhat to provide exposure to traditional weavers of Assam on Assam Silk &amp; dye. We proposed to provide exposure of local weavers in the neighbourhood of refinery in the workshop as a part of skill enhancement &amp; diversification.</t>
  </si>
  <si>
    <t>Borgoria Nepalikhuti Gaon Unnyan Somiti</t>
  </si>
  <si>
    <t>Distribution of Potato Seeds amongst the farmers of Borgoria Nepalikhuti Gaon.</t>
  </si>
  <si>
    <t>complete</t>
  </si>
  <si>
    <t>Rashtriya Gramin Vikash Nidhi (RGVN)</t>
  </si>
  <si>
    <t>Providing financial support for "Promotion of Self Sustainable Mushroom Producer Organization" covering the nearby villages of the Refinery(Empowerment for rural woman through Mushroom Farming)</t>
  </si>
  <si>
    <t>Jintu Sarma, Master trainer of Samabay Samiti</t>
  </si>
  <si>
    <t>Additional expenses incurred reference proposal: no- 100068, Dtd. 08.08.2016, (Providing additional financial support for repairing of existing handlooms &amp; powerlooms of Ponka Weaving centre)</t>
  </si>
  <si>
    <t>ERI Fed, Boku, South Kamrup, Assam</t>
  </si>
  <si>
    <t>Financial support for development of Website for research and promotion of indigenous Eri Silk of Assam including exploration of Mejankari plant to rejuvenate Mejankari Silk through ERI Fed, Boko, Kamrup, Assam</t>
  </si>
  <si>
    <t>Providing technical &amp; administrative assistance to various Joint Liability Group (JLG) for successful implementation of livelihood schems awarded through NRL CSR schemes as implementation partner (2nd Phase) Scope of job: Capacity building workshop and provide hand holding support during implementation, establish credit linkage with financial institute, support market linkage of products of JLG, co-ordinate with various Govt. agencies i.e. District Industry office, Agri, Veterinary, Fishery Deptt. etc. for technical guidence &amp; conduct impact assessment study and submission of final report.</t>
  </si>
  <si>
    <t>Regional AI officer, Bokakhat</t>
  </si>
  <si>
    <t>Project on Up gradation of local non descript cow in 5 villages [ (a) Chinakan No-1, (b) Parangonia No-1 (c) Kandhulimari-Rajagaon, (d) Goria Borpathar (e) Palashguri Sohola ] under Bokakhat Sub division by way of Artificial insemination (AI) of 750 cattles in association with regional AI officer, Bokakhat.</t>
  </si>
  <si>
    <t>Pragati Edutech (P) Ltd., Guwahati</t>
  </si>
  <si>
    <t>Provide 6 month skill development training program on Hospitality Management to 30 unemployed youth residing within 15 KM radius of NRL Refinery at Guwahati for promotion of sustainable livelihood under project "UTTORON".</t>
  </si>
  <si>
    <t>Sri Krishna Bahadur Chetry, Letakuchapori Gaon &amp; Mrs. Bijaya Barman, Numaligarh Block Gaon</t>
  </si>
  <si>
    <t>Financial support to 2 (Two) nos. of local entrepreneur Sri Krishna Bahadur Chetry, Letakuchapori Gaon &amp; Mrs. Bijaya Barman, Numaligarh Block Gaon for up-gradation of their existing Income generating scheme (Diary &amp; Piggery Farm)</t>
  </si>
  <si>
    <t>Through the respective beneficiaries of teh SHGs</t>
  </si>
  <si>
    <t>Promoting four (4) nos. of Women Self Help Group of nearby villages for setting up of income generating scheme - Project under empowering of women (1) EKATA ATMO SAHAYAK GUT(2) ANAMIKA SHG (3) BHAGYA MOHILA SHG (4) LAKHIMI SHG (detailed as per attached list)</t>
  </si>
  <si>
    <t>Jarna Pathar Parisalona Samittee, Doigrung and Dhansiri Pathar Parisalona Samittee, Khumtai</t>
  </si>
  <si>
    <t>Distribution of Potato Seeds amongst the farmers of Jarna Pathar Parisalona Samittee, Doigrung and Dhansiri Pathar Parisalona Samittee, Khumtai</t>
  </si>
  <si>
    <t>not in register</t>
  </si>
  <si>
    <t>Guldasta (Nabin Kalita Udyug Pam), Milanpur, Boku, Kamrup</t>
  </si>
  <si>
    <t>Installation of two nos. high productivity Pit Loom with Jacquard and all accessories at Panka Gaon Weaving Centre</t>
  </si>
  <si>
    <t>VKNRL Nursing School Trust (A/c No- 36268296086)</t>
  </si>
  <si>
    <t xml:space="preserve">Release of fund to VKNRL Nursing School Trust (1st installment towards  making salary payment of Principal, and other pre-operating expenses till March,2017 &amp; Reference of Approval Dated 31.12.2016) </t>
  </si>
  <si>
    <t>Bohumukhi Jibon Suraksha Self Help Group</t>
  </si>
  <si>
    <t>Providing financial assistance for construction of Toilet Block &amp; Ring well at Bogidhala silkworms farm alongwith supply of equipment and accessories for cultivation of silkworms</t>
  </si>
  <si>
    <t>Sanitation (Item No. (i) of Schedule-VII of the Companies Act, 2013)</t>
  </si>
  <si>
    <t>Gram Tarang Employablity Training Service Pvt. Ltd., Rowta, Udalguri.</t>
  </si>
  <si>
    <t>Skill development Training on Wiremen Control Panel (Level-3) providing through Gram Tarang Employablity Training Service Pvt. Ltd., Rowta, Udalguri.</t>
  </si>
  <si>
    <t>Santhigiri Ashram.</t>
  </si>
  <si>
    <t>Construction of Santhigiri Ayurveda Institute</t>
  </si>
  <si>
    <t>Payment to Santhigiri Ashram towards expenditure incurred during inauguration of the Santhigiri – NRL Ayurveda Panchakarma Skill Development Training Institute at Guwahati on 12th January’ 2017.</t>
  </si>
  <si>
    <t>Rongali</t>
  </si>
  <si>
    <t>Financial assistance for organizing Rongali (Destination, Culture, Harmony aims at promoting Assam as tourism destination) towards promotion Handloom &amp; Handicrafts. A group of local weavers  from nearby villages of NRL will be taken to exhibition as a part of their exposure tour &amp; display their products in the event.</t>
  </si>
  <si>
    <t xml:space="preserve">Smti Juga Dhekial Phukon </t>
  </si>
  <si>
    <t>Financial assistance to Smti Juga Dhekial Phukon a physically disable girl from Panikara Gaon, Marangi for starting a small business for her Livelihood</t>
  </si>
  <si>
    <t>Photography Club of Assam, Dibrugarh</t>
  </si>
  <si>
    <t>Skill development on Wildlife photography through participation in ‘wildlife photography event’ to be held on 25th &amp; 26th February’ 2017 at Kaziranga (one local youth to be send for the workshop).</t>
  </si>
  <si>
    <t>Sponsoring 15 Nos. of students from BPL families of nearby areas for pursuing Two years Electrician &amp; Fitter Trade at ITI, Bokakhat as part of skill development initiative “UTTORON” of NRL for 2016-17.</t>
  </si>
  <si>
    <t>Providing financial &amp; technical support to promote 5 Nos. of Apiarist from nearby areas for their livelihood avenues through production of honey bee as a part of income generating scheme.</t>
  </si>
  <si>
    <t>Professional Forum</t>
  </si>
  <si>
    <t>Financial assistance for operating one work station at Telgaram for monitoring of different projects related to CSR.</t>
  </si>
  <si>
    <t>MISC</t>
  </si>
  <si>
    <t>302899 Galacon Infrastructure &amp; Projects</t>
  </si>
  <si>
    <t>Design,Engg,Const. of PEB-Nursing School</t>
  </si>
  <si>
    <t>Supply and installation 15 sets of Desk-Bench (3 seater) at VKNRL Nursing School (to be supplied as per detailed drawing &amp; specification attached in Annexure -1)</t>
  </si>
  <si>
    <t>Procurement of 4 door Filing Cabinet &amp; Almira (One no. each) of Godrej Make for the office of VKNRL Nursing School.</t>
  </si>
  <si>
    <t>PR: 10064510:</t>
  </si>
  <si>
    <t xml:space="preserve"> Equipment for “A.V. Aids Room”.</t>
  </si>
  <si>
    <t>PR:10064511</t>
  </si>
  <si>
    <t>: Equipment for “Nursing Practice Lab”.</t>
  </si>
  <si>
    <t>PR:10064512</t>
  </si>
  <si>
    <t>: Pre-Clinical Science Lab equipment.</t>
  </si>
  <si>
    <t>PR:10064513</t>
  </si>
  <si>
    <t>10064513: Equipment for “Nutrition Lab”.</t>
  </si>
  <si>
    <t>PR:10064514</t>
  </si>
  <si>
    <t>10064514: Miscellaneous items for VKNRL Nursing school.</t>
  </si>
  <si>
    <t xml:space="preserve">PR:10064442: </t>
  </si>
  <si>
    <t>Nursing Practice Lab (Excluding Manikins)</t>
  </si>
  <si>
    <t>PR:10064450:</t>
  </si>
  <si>
    <t xml:space="preserve"> Community Health Nursing Lab</t>
  </si>
  <si>
    <t xml:space="preserve">PR:10064452: </t>
  </si>
  <si>
    <t>Child Health Lab</t>
  </si>
  <si>
    <t>PR:10064470:</t>
  </si>
  <si>
    <t xml:space="preserve"> Books for library</t>
  </si>
  <si>
    <t xml:space="preserve"> -</t>
  </si>
  <si>
    <t>Devish Mazumdar</t>
  </si>
  <si>
    <t>Expenses for Nursing School Inauguration</t>
  </si>
  <si>
    <t>Expenses for account opening of VKNRL Nursing School</t>
  </si>
  <si>
    <t>INC registration fees for VKNRL Nursing School</t>
  </si>
  <si>
    <t>Down Town University</t>
  </si>
  <si>
    <t>Sponsorship of 14 nos of Girl student for Nursing Course under skill developement initiative of NRL</t>
  </si>
  <si>
    <t>NRL/CSR/16-17</t>
  </si>
  <si>
    <t>Downtown University</t>
  </si>
  <si>
    <t>Sponsoring 2nd batch of students for Nursing course 2016-17</t>
  </si>
  <si>
    <t>skill Development and Livelihood (Item No. (ii) of Schedule-VII)</t>
  </si>
  <si>
    <t>NRL/CSR/16-17/01</t>
  </si>
  <si>
    <t>Sponsoring additional 3 nos. GNM students for Nursing course 2016-17</t>
  </si>
  <si>
    <t>NRL/CSR/16-17/MISC</t>
  </si>
  <si>
    <t xml:space="preserve">M/s D K Somani </t>
  </si>
  <si>
    <t>Consultancy for preparing Trust deed for VKNRL Nursing School</t>
  </si>
  <si>
    <t>NRL/CSR/B-19</t>
  </si>
  <si>
    <t>Sponsoring students from nearby areas for pursuing Paramedical Course 2016-17</t>
  </si>
  <si>
    <t>NRL/CSR/MISC</t>
  </si>
  <si>
    <t>Fooding &amp; transportation of 14 nos. students admitted to Down Town University for Nursing course 2015-16</t>
  </si>
  <si>
    <t>Payment of fees to GRIHA council for VKNRL Nursing School</t>
  </si>
  <si>
    <t>Various</t>
  </si>
  <si>
    <t>Financial support to various JLGs for livelihood generation</t>
  </si>
  <si>
    <t xml:space="preserve">Prabhati Self Help Group </t>
  </si>
  <si>
    <t>Providing financial assistance to Prabhati Self Help Group for construction of Mulberry reeling cum spinning unit alongwith supply of equipment and accessories for silk processing.</t>
  </si>
  <si>
    <t>Actual Approved Amount</t>
  </si>
  <si>
    <t>IRDS, Guwahai</t>
  </si>
  <si>
    <t>Digital Literacy Curriculam at Lettekujan tea Garden.</t>
  </si>
  <si>
    <t>Education (Item No. (ii) of Schedule-VII)</t>
  </si>
  <si>
    <t>SMC of Kanaighat Jr. Basic LPS</t>
  </si>
  <si>
    <t>Fin support for Repairing &amp; renovation of school building.</t>
  </si>
  <si>
    <t>Deopahar MES</t>
  </si>
  <si>
    <t>Renovation of School Building of Deopahar MES</t>
  </si>
  <si>
    <t>Borgoria Muktab Parthamic Vidyalaya</t>
  </si>
  <si>
    <t xml:space="preserve">Renovation work of school buliding of Borgoria Muktab Parthamic Vidyalaya, Lettekujan </t>
  </si>
  <si>
    <t>Numaligarh Girls' M.E. School</t>
  </si>
  <si>
    <t>Financial support for renovation of school building of Numaligarh Girls' M.E. School.</t>
  </si>
  <si>
    <t>Angaraj Thengal, Subhankar Bordoloi, Piyush Pratim Saikia, Arindom Boruah, Samujjal Gogoi, Vishal Agarwalla</t>
  </si>
  <si>
    <t>Scholarship to 6 nos. students for studying in Sainik School, Goalpara</t>
  </si>
  <si>
    <t>Head Master,  Khumtai Bagicha Girls' M.E. School</t>
  </si>
  <si>
    <t>Repairing &amp; renovation of flooring,  painting and providing 05 nos desk-benches and 02 nos table at Khumtai Bagicha Girls' M.E. School.</t>
  </si>
  <si>
    <t>Parangonia Sr Basic School</t>
  </si>
  <si>
    <t xml:space="preserve">Fin Support for Reparing of Roofing of School </t>
  </si>
  <si>
    <t>Social Developemental Forum</t>
  </si>
  <si>
    <t>Distribution of text book among economically weaker students for pursuing degree courses at nearby Colleges &amp; repairing &amp; renovation of public library at Doigurung</t>
  </si>
  <si>
    <t>Amar Sarma Girls HS</t>
  </si>
  <si>
    <t>Fin Support for Const of Girls Common Room</t>
  </si>
  <si>
    <t>Badulipar Jr College</t>
  </si>
  <si>
    <t>Fin Support for Const of Library Building at Badulipar Jr College</t>
  </si>
  <si>
    <t>N'garh Sishu Kalyan LPS</t>
  </si>
  <si>
    <t>Repair /renovation of school bldg</t>
  </si>
  <si>
    <t>Asom Sahitya Sabha, Numaligarh</t>
  </si>
  <si>
    <t>Converting 50% illiterates (800 persons) to literates in 4 villages in the vicinity of Refinery</t>
  </si>
  <si>
    <t>President / Secretary, Sri Manta Sankardev High School, Rong-Bong.</t>
  </si>
  <si>
    <t>Modification and renovation of roof shed and school building of Sri Manta Sankardev High School, Rong-Bong..</t>
  </si>
  <si>
    <t>SMC Owguri Sadoubonua LPS</t>
  </si>
  <si>
    <t>Replacement of damaged roof due to hailstorm &amp; renovation of school bldg</t>
  </si>
  <si>
    <t>SMC Rongbong MES</t>
  </si>
  <si>
    <t>Replacement of damaged roof &amp; renovation of school bldg</t>
  </si>
  <si>
    <t>SMC Rongbong Nabajyoti LPS</t>
  </si>
  <si>
    <t>SMC Rongbong Pather LPS</t>
  </si>
  <si>
    <t>Ms Pranjana Deka.</t>
  </si>
  <si>
    <t>Providing educational support for pursuing Higher Secendary course (Science Stream) to meritorious student who has been secured 83.83% in HSLC examination under SEBA.</t>
  </si>
  <si>
    <t>Barua Cement Craft, Kamargaon</t>
  </si>
  <si>
    <t>Providing financial support for 25 nos. of low cost slow sand water filter to be placed in nearby LP Schools.</t>
  </si>
  <si>
    <t>Drinking Water Supply (Item No. (i) of Schedule-VII)</t>
  </si>
  <si>
    <t>Amalgamated Plantations Pvt. Ltd</t>
  </si>
  <si>
    <t>Providing class room &amp; office furniture to Govt. L P School at Lettekujan Tea Estate. (60 pairs 3 seats desk-benches, office furniture &amp; other equipment)</t>
  </si>
  <si>
    <t>Master Raktim Prabal Kachari</t>
  </si>
  <si>
    <t>Providing admission &amp; tution fees to Master Raktim Prabal Kachari studying in UKG in Happy Home school, Bokakhat</t>
  </si>
  <si>
    <t>Amarjyoti Library &amp; Study Centre , Bishnupur adarsha gaon, Kanaighat</t>
  </si>
  <si>
    <t>Repair/ Renovation of Amarjyoti Library &amp; Study Centre and providing books &amp; furniture for the library</t>
  </si>
  <si>
    <t>CSR Steering Committee, NRL</t>
  </si>
  <si>
    <t>Financial assistance for setting up after school coaching centre in 5 schools adjacent to refinery ( Mohura HS, Khumtai HS School, Marangi DN HS, Ponka Rupram HS, Rajabari HS) to promote quality education under project "Bidya Sarathi".</t>
  </si>
  <si>
    <t>All Assam Students' Union, Guwahati</t>
  </si>
  <si>
    <t>Financial support for organizing the Central reward/ felicitation Programme organize by AASU to honour the Rank Holders of HSLC, High Madrasa &amp; HSSLC examination-2016</t>
  </si>
  <si>
    <r>
      <t xml:space="preserve"> 1 no. Rongbong Karbi L.P. School. (</t>
    </r>
    <r>
      <rPr>
        <sz val="11"/>
        <color rgb="FFDC14BF"/>
        <rFont val="Calibri"/>
        <family val="2"/>
        <scheme val="minor"/>
      </rPr>
      <t>Mosty belong ST community)</t>
    </r>
  </si>
  <si>
    <t>Financial support for construction of new school building of 1 no. Rongbong Karbi L.P. School.</t>
  </si>
  <si>
    <t>Owguri Rajabari Gaon Unnayan samity &amp; Yuva sangha</t>
  </si>
  <si>
    <t>Provide Financial support for Construction of Boundary wall at Owguri L.P. School campus.</t>
  </si>
  <si>
    <t>Headmaster, Rajabari Letekujan M.E. School</t>
  </si>
  <si>
    <t>Financial support for development of playing field at Rajabari Letekujan M.E. School</t>
  </si>
  <si>
    <t>Electrification work at newly constructed Ponka Rup Ram Hazarika High School, Telgaram.</t>
  </si>
  <si>
    <t>IRDIS</t>
  </si>
  <si>
    <t>Renewal of existing project on "Operation of Digital Literacy Curriculum Centre (DLC)" operated at Lettekujan TE towards promoting Digital India Programme of Govt. of India</t>
  </si>
  <si>
    <t>Repairing &amp; renovation of school building and construction of toilet block at Balijan High School, Bokakhat.</t>
  </si>
  <si>
    <t>Construction of girls toilet block at Bokakhat Girls high school</t>
  </si>
  <si>
    <t>Kanaighat Tribal M.E. school</t>
  </si>
  <si>
    <t>Renovation of Kanaighat Tribal M.E. school (Roof, floor, repairing &amp; exterior/interior painting).</t>
  </si>
  <si>
    <t>Fallangani Alokjyoti Puthibharal.</t>
  </si>
  <si>
    <t>Providing financial support for distribution of Master Suggestion to Class X students (under SEBA) through Fallangani Alokjyoti Puthibharal.</t>
  </si>
  <si>
    <t>Assam Tea Tribes Students' Association</t>
  </si>
  <si>
    <t>Distribution of text book for Tea Tribes students of nearby areas who are pursuing HS 1st year and 1st Sem. of Bachelor degree.</t>
  </si>
  <si>
    <t>Mahatma Balya Bhawan, Na-pur, Golaghat</t>
  </si>
  <si>
    <t>Construction of Girls' Toilet at Mahatma Balya Bhawan.</t>
  </si>
  <si>
    <t>Numaligarh Block LP School</t>
  </si>
  <si>
    <t>Renovation of existing building  of Numaligarh Block L.P. School.</t>
  </si>
  <si>
    <t>Headmistress, Ponka Gaon Girls' MES &amp; Ponka Girls' High School</t>
  </si>
  <si>
    <t>Repairing &amp; renovation of Ponka gaon Girls' MES &amp; Ponka Girls High School (Replacement of roofing shed with dyna roof, external painting, fall ceiling repairing of door/window &amp; flooring).</t>
  </si>
  <si>
    <t>Letekujan Adarsha Bidyapith</t>
  </si>
  <si>
    <t>Construction of two nos. of new class room, renovation of existing building &amp; toilet block of Letekujan Adarsha Bidyapith.</t>
  </si>
  <si>
    <t>President/ Secy, Lakhimi Bagan L.P. School.</t>
  </si>
  <si>
    <t>Construction of  new class room, renovation of existing building  of Lakhimi Bagan L.P. School.</t>
  </si>
  <si>
    <t>Sonali Jayanti Udjapan Samity Borguri Mojalia Bidyalaya, Ganak Pukhuri.</t>
  </si>
  <si>
    <t xml:space="preserve"> Financial support for construction of boundary wall at Borguri M.V. School.</t>
  </si>
  <si>
    <t>Sri Ritupon Handique, Letekuchapori</t>
  </si>
  <si>
    <t>Providing educational support to Sri Ritupon Handique for studying  Master degree course at Dibrugarh university.</t>
  </si>
  <si>
    <t>Miss Dibya Sarma, Numaligarh</t>
  </si>
  <si>
    <t>Financial assistance for pursing engineering at Jorhat Engg. College to a nearby meritorious student Miss Dibya Sarma, Numaligarh</t>
  </si>
  <si>
    <t>School Management Committee of 02 No Bishnupur Konekeswar Saikia L P School</t>
  </si>
  <si>
    <t>Renovation of School &amp; Office building of 02 no Bishnupur Konekeswar Saikia LP School. Renovation work includes Replacement of Roofing , Construction of new False ceiling, repairing of Door ,Window, Flooring, Plastering &amp; repaininting of entire school building.</t>
  </si>
  <si>
    <t>NRL CSR &amp; Sustainability Steering Committee</t>
  </si>
  <si>
    <t>Implementation of Gyandeep , Prerona &amp; Dronacharya scheme for FY-2016-17</t>
  </si>
  <si>
    <t>Vivekananda Kendra</t>
  </si>
  <si>
    <t xml:space="preserve">Financial support to VK Rock Memorial &amp; vivekananda Kendra for setting up a Girls school at Khatkhati Rural developement project centre in Karbi Anglong District of Assam </t>
  </si>
  <si>
    <t>2 no Rongbong LP School</t>
  </si>
  <si>
    <t>Renovation of 02 No Rongbong pathar Primary School.Kanaighat. Renovation includes replacement of roofing , repairing of flooring, wood work and painting of entire school building.</t>
  </si>
  <si>
    <t>Behora Chah Bagisha M E School</t>
  </si>
  <si>
    <t>Renovation of Behora Chah Bagisha M E School.Renovation includes replacement of roofing, repairing of floor; False ceiling; woodwork &amp; painting of entire building.</t>
  </si>
  <si>
    <t>Mangala Seva Samithi Trust, Mangalore</t>
  </si>
  <si>
    <t>Providing Financial support to Mangala Seva Samithi Trust, Mangalore to bring up 25 nos. orphan children Scheduled Tribe) of Meghalaya in the trust which includes free accommodation ,food, Clothing, Medical care , education and all other amenities for one year i.e 2016-17.</t>
  </si>
  <si>
    <t>Bokakhat Higher Secondary school</t>
  </si>
  <si>
    <t>Renovation of Bokakhat Higher Secondary School (roof floor, repairing &amp; exterior/interior painting).</t>
  </si>
  <si>
    <t>Saurabh Puthi Bharal</t>
  </si>
  <si>
    <t>Financial support for improvement of Sourabh Puthibharal and along with Providing books &amp; furnitures to the Puthibharal.</t>
  </si>
  <si>
    <t>SMC, Patia Pathar High School, Badulipar</t>
  </si>
  <si>
    <t>Construction of Library at Potia Pathar High School.</t>
  </si>
  <si>
    <t>approved</t>
  </si>
  <si>
    <t>SMC, Ouguri L.P. School</t>
  </si>
  <si>
    <t>Additional work for construction of Boundary Wall at Ouguri L.P. School, Rajabari, Lettekujan.</t>
  </si>
  <si>
    <t>SMC, Borchapori Tribal L.P. School</t>
  </si>
  <si>
    <t>Construction of Boundary wall at Borchapori Tribal L.P. School</t>
  </si>
  <si>
    <t>Providing scholarship to top 100 (One hundred) students passed out HSLC Examination during academic Session 2015-16 from Golaghat District Under Project "Gyandeep-Top 100".</t>
  </si>
  <si>
    <t>24th National Children Science Congress 2016.</t>
  </si>
  <si>
    <t>Financial assistance for holding District Level 24th National Children Science Congress 2016.</t>
  </si>
  <si>
    <t>Vivekananda kendra Rock Memorial and Vivekananda kendra,Kanyakumari</t>
  </si>
  <si>
    <t>Financial assistance to Vivekananda Kendra Rock Memorial &amp; Vivekananda Kendra for construction of accommodation facility service people of VK at Dibrugarh as per MoU with VK NRL Hospital for 2015-16.</t>
  </si>
  <si>
    <t>Doigrung Tarun Puthibharal.</t>
  </si>
  <si>
    <t xml:space="preserve">Financial support for renovation of Doigrung Tarun Puthibharal and providing 4 nos. bookshelfs, books, Table &amp; chair </t>
  </si>
  <si>
    <t>Telia Gaon Unnayan Samittee</t>
  </si>
  <si>
    <t>Financial support for renovation of library and providing 4 nos. bookshelfs, books, Table &amp; chair at Teliagaon, Morongi.</t>
  </si>
  <si>
    <t>Ouguri LP School, SMC</t>
  </si>
  <si>
    <t>Financial support for renovation of Ouguri LP School, Rajabari.</t>
  </si>
  <si>
    <t>Vidyalaya Parichalana samiti Roudwar Pather Prathamik Vidyalaya, Numaligarh</t>
  </si>
  <si>
    <t>Financial support for renovation of Roudwar Pather Prathamik Vidyalaya, Numaligarh.</t>
  </si>
  <si>
    <t xml:space="preserve">SMDC Dhekial Higher Secondary School </t>
  </si>
  <si>
    <t>Renovation of Dhekial Higher Secondary School (Roof, floor, repairing &amp; internal/external painting).</t>
  </si>
  <si>
    <t>Kenduguri Primary School, Doigrung</t>
  </si>
  <si>
    <t>Renovation of Kenduguri Primary School, Doigrung.</t>
  </si>
  <si>
    <t>No 04. Rong Bong Kathalguri L.P. School SMC</t>
  </si>
  <si>
    <t>Renovation of No 04. Rong Bong Kathalguri L.P. School.</t>
  </si>
  <si>
    <t>SMC Telgaram L.P. School.</t>
  </si>
  <si>
    <t>Renovation of Telgaram L.P. School.</t>
  </si>
  <si>
    <t>Sankadev Shishu Niketon, Rajabari</t>
  </si>
  <si>
    <t>Distribution of 06 nos. used computer sets to Sankadev Shishu Niketon, Rajabari towards promoting education.</t>
  </si>
  <si>
    <t>Providing 50 nos of used computer sets for distribution among Various beneficiaries of educated unemployed groups, schools, Social Organisations, NGOs and other training institutes of nearby areas.</t>
  </si>
  <si>
    <t>SMC, Hatimora L.P. School</t>
  </si>
  <si>
    <t>Renovation of Hatimora L.P. School, 02 No Ponka Grant.</t>
  </si>
  <si>
    <t>Providing scholarship to meritorious and economically weaker students of schools adjacent to Siliguri marketing Terminal under project "GYANDEEP" &amp; DRONACHARYYA.</t>
  </si>
  <si>
    <t>SONALI JAYANTI UDJAPAN SAMITTEE, Rajabari L P School, Bokakhat</t>
  </si>
  <si>
    <t>Financial assistance for construction of boundary wall at Rajabari L. P. School, Rajabari, Bokakhat</t>
  </si>
  <si>
    <t>Providing modular 3 seater desk-bench sets (300 sets) of reputed brand to 15 nos of school in NRL towards improving educational infrastructure facilities. (@Rs. 10000.00 per sets (Requirement has been assess based on information of Impact assessment studies)</t>
  </si>
  <si>
    <t>Miss Tulika Saikia, Student of CNB College, Bokakhat;  Miss Mrigakhi Borah, Student of Golaghat Law College; Miss Princy Borgohain, Student of Guwahati Handique College</t>
  </si>
  <si>
    <t>Financial assistance for higher education to 03 nos. of meritorious students of nearby areas</t>
  </si>
  <si>
    <t>Career Care</t>
  </si>
  <si>
    <t>Financial support for the project 'MOBILE CAREER CLINIC' to be organised by Career Care, Bokakhat for College students, Pass-out students and Un-employed youth of nearby areas (Targeted colleges: a) Morangi College, (b) Kamargaon College (c) CNB College) Total nos of beneficiaries 200+.</t>
  </si>
  <si>
    <t>Providing financial support for conducting free education program for the school out children of Mazdur Gaon, Bishnupur</t>
  </si>
  <si>
    <t>Director of Museum, Assam</t>
  </si>
  <si>
    <t>To provide assistance to conduct routine educational programme at Assam State Museum, Guwahatifor children and visitors.</t>
  </si>
  <si>
    <t>Procurement &amp; distribution of Test Papers among the HSLC students of nearby schools of Refinery.(1850 nos.)</t>
  </si>
  <si>
    <t>SMC, Nepalikhuti Banua Prathamik Vidalaya</t>
  </si>
  <si>
    <t>Financial assistance for renovation of Nepalikhuti Banua Prathamik Vidalaya, Rajabari, Bokakhat including repairing of Roof trusses, Floors, Doors &amp; Windows, installation of new CGI, painting etc. as per detailed estimate and drawing enclosed.</t>
  </si>
  <si>
    <t>SMC, Kachupathar Prathamik Vidalaya</t>
  </si>
  <si>
    <t>Financial assistance for renovation of Kachupathar Prathamik Vidalaya, Kachupathar, Golaghat including repairing of Floors, Doors &amp; Windows, painting, construction of new kitchen room etc. as per detailed estimate and drawing enclosed.</t>
  </si>
  <si>
    <t>SMC, Gubindapur Bagan L.P. School.</t>
  </si>
  <si>
    <t>Financial assistance for renovation of Gubindapur Bagan L.P. School, Gubindapur, Golaghat including repairing of Roof trusses, Floors, Doors &amp; Windows, ceilings, painting etc. as per detailed estimate and drawing enclosed.</t>
  </si>
  <si>
    <t>SMC, Kuruabahi Na-Gaya L.P. School</t>
  </si>
  <si>
    <t>Financial assistance for renovation of Kuruabahi Na-Gaya L.P. School, Kuruabahi, Bokakhat including repairing of Roof trusses, Floors, Doors &amp; Windows, Ceiling work, installation of new CGI, painting , Brick work etc. as per detailed estimate and drawing enclosed.</t>
  </si>
  <si>
    <t>Principal,  Barpathar H S School</t>
  </si>
  <si>
    <t>Financial assistance for construction of boundary wall at Barpathar H S School, Barpathar, Golaghat as per detailed estimate and drawing encloded.</t>
  </si>
  <si>
    <t xml:space="preserve">Public awareness program on avenues available in the country and constructive role of youth in national building. “Sab ka Saath Sab Ka Vikash” inclusive policy </t>
  </si>
  <si>
    <t>Financial assistance for renovation of Dergaon Town Senior Basic School</t>
  </si>
  <si>
    <t>Special Scholarship for Contract Workmen's children who have passed out in HSLC &amp; HSSLC examination 2016.</t>
  </si>
  <si>
    <t>1 No Rong Bong Pathar LP School</t>
  </si>
  <si>
    <t>Renovation of 1 No Rong Bong Pathar LP School, Kanaighat including replacement of roofing , ceilling, repairing of floor, Plastering, wood work and painting of the school building</t>
  </si>
  <si>
    <t>Adhar Satra M E School,</t>
  </si>
  <si>
    <t>Financial assistance for construction of boundary wall at Adhar Satra M E School, Adharsatra, Golaghat as per detailed estimate and drawing encloded</t>
  </si>
  <si>
    <t>O/O The Deputy Commissioner, (Election Branch) Golaghat</t>
  </si>
  <si>
    <t>Financial assistance for awareness program on educating citizen of India about electoral participation and dissemination of information about electoral process to help in national building</t>
  </si>
  <si>
    <t>Shri Bhaskarjyoti Phukon</t>
  </si>
  <si>
    <t>Financial Assistance to Shri Bhaskarjyoti Phukon inhabitant of Bishnupur for his higher education at Industrial Training Institute, Tezpur.</t>
  </si>
  <si>
    <t>Shri Bhaskar Protim Mahanta</t>
  </si>
  <si>
    <t>Financial Assistance to Shri Bhaskar Protim Mahanta inhabitant of Kaliyani Block Gaon for his higher education at NIT Silchar (M Sc. in Chemistry)</t>
  </si>
  <si>
    <t>Teliagaon Unnayan Samittee</t>
  </si>
  <si>
    <t>Additional financial assistance for renovation of Teliagaon library at Marangi by repairing of a Brick wall (which was not estimated with the existing proposal)</t>
  </si>
  <si>
    <t>Sanmilitta Natun Khotia Khuli L P School SMC</t>
  </si>
  <si>
    <t>Financial assistance for renovation of Sanmilita Natun Khatiakhuli L P School, Rajabari including repairing of Roof trusses, Floors, Doors &amp; Windows, installation of new CGI, painting , Brick work etc. as per detailed estimate and drawing enclosed</t>
  </si>
  <si>
    <t>Special Scholarship to the meritorious students of nearby areas for FY 2016-17 (not covered under Gyandeep scheme) who are residing in 15 KM radius of NRL but have passed out from the institutions beyond 15 KM.</t>
  </si>
  <si>
    <t>Akhil Bharatiya Vidyarthi Parishad</t>
  </si>
  <si>
    <t>Financial assistance to Akhil Bharatiya Vidyarthi Parishad (ABVP) for organizing National Intergration Tour- 2017 (from 10th – 23rd Feb 2017) as a part of students’ experience in Inter-State Living within NE India.</t>
  </si>
  <si>
    <t>SMC, Jnanpith ME School</t>
  </si>
  <si>
    <t>Construction of boundary wall at Jnanpith ME School, Barpathar, Golaghat as per detailed estimate and drawing encloded.</t>
  </si>
  <si>
    <t>Setting up Library in 10 High School adjacent to NRL under project "Library for all" in 3rd phase.</t>
  </si>
  <si>
    <t>Rangapani High School.</t>
  </si>
  <si>
    <t>200020/ 4300043249</t>
  </si>
  <si>
    <t xml:space="preserve">SMC of Ponka R.H. High school </t>
  </si>
  <si>
    <t>Construction of  School building (Assam type) for Ponka R.H. High school  at Telgaram.</t>
  </si>
  <si>
    <t>M/s Bodan Das</t>
  </si>
  <si>
    <t>Payment against writing name plates (30 nos) in book case in school library</t>
  </si>
  <si>
    <t>M/s Balaji Computers</t>
  </si>
  <si>
    <t>Payment for desktop computer provided to Assam Nursing Council</t>
  </si>
  <si>
    <r>
      <t xml:space="preserve">Thru Commercial tendering / </t>
    </r>
    <r>
      <rPr>
        <sz val="11"/>
        <color rgb="FFFF0000"/>
        <rFont val="Calibri"/>
        <family val="2"/>
        <scheme val="minor"/>
      </rPr>
      <t>ESC budget</t>
    </r>
  </si>
  <si>
    <t>Repairing of existing road from Napathar Natun gaon to Numaligarh Block Gaon</t>
  </si>
  <si>
    <t>NRL (T&amp;E) and Water Resources Department, GoA,</t>
  </si>
  <si>
    <t>Protection of Main approach road to Numaligarh Block Gaon adjacent to NRL Township due to continuous erosion of River Kaliyani.</t>
  </si>
  <si>
    <t xml:space="preserve">Renovation of Rural Road from Letekujan Rajabari Chariali to Railway Level Crossing via Intake at Letekujan (Total Length 1180 M) </t>
  </si>
  <si>
    <t>M/s Akhil Pathak</t>
  </si>
  <si>
    <t>Consultancy service for preparation of detailed estimate of Road work and conducting Chain Survey of two roads from NH-39 to Na Pathar Natun Gaon &amp; Na Pathar Natun Gaon to Kaliyani Block Gaon.</t>
  </si>
  <si>
    <t>Executive Engineer, Jorhat W.R. Division</t>
  </si>
  <si>
    <t xml:space="preserve">Payment to JEC, Jorhat against preparation of Soil Test Report for the project “Protection of Main approach road to Numaligarh Block Gaon adjacent to NRL Township due to continuous erosion of River Kaliyani” </t>
  </si>
  <si>
    <t>TOTAL</t>
  </si>
  <si>
    <t>CSRSC</t>
  </si>
  <si>
    <t>Supplying fitting &amp; fixing of 50 nos of Display board highlighting programme / Project executed by NRL under its CSR initiative in and around Refinery.</t>
  </si>
  <si>
    <t>Circle Officer Morangi Revenue Circle, Morangi.</t>
  </si>
  <si>
    <t>Construction of boundary wall in Morangi Revenue Circle Office as a part of development of rural infrastructure.</t>
  </si>
  <si>
    <t>Borgoria Nepalikhuti Gaon Unnayan Samiti</t>
  </si>
  <si>
    <t>Repairing &amp; Renavation of existing 6 nos of Ring well</t>
  </si>
  <si>
    <t>drinking Water Supply (Item No. (i) of Schedule-VII)</t>
  </si>
  <si>
    <t>rAjabari Bagan Surakshya &amp; Ganja Tika gaon Unayan samiti</t>
  </si>
  <si>
    <t>repair of 3 old ringwell at Rajabari</t>
  </si>
  <si>
    <t>PHED, Assam</t>
  </si>
  <si>
    <t>Providing water supply facility under Project "Jeevandhara" by reviving existing piped water scheme at Letekujan</t>
  </si>
  <si>
    <t>carry over</t>
  </si>
  <si>
    <t>Asha Nursery, Telgaram</t>
  </si>
  <si>
    <t>Developement &amp; Maintenance of traffic island at Purabungala, Telgaram &amp; Numaligarh</t>
  </si>
  <si>
    <t>Chawragaon Unnayan Samity</t>
  </si>
  <si>
    <t xml:space="preserve">Const of Boundary wall of Labanghat creamation ground </t>
  </si>
  <si>
    <t>Proiding Electrification at Borgoria Ahom Chuk, Nepali Chuk, Muslim Chuk, 1no &amp; 2 No Ponka through APDCL under Deposit Work</t>
  </si>
  <si>
    <t>300052 (A)</t>
  </si>
  <si>
    <t>Supply &amp; installation of 02 nos transformer (one 100 KVA &amp; another 63 KVA) at Borgoria Ahom/Nepali chuk &amp; Borgoria Muslim chuk. Electrification of these two villages were taken up by NRL through APDCL under its CSR scheme. However, in the original proposal scope of transformer was kept under CMPSAM scheme.</t>
  </si>
  <si>
    <t>Nematighat Unnayan Samiti</t>
  </si>
  <si>
    <t>Construction of Waiting room cum toilet block at Nimatighat, Jorhat</t>
  </si>
  <si>
    <t>Chairman, Golaghat Municipal Board  (PR NO: 10063227, PO no: 4500016745)</t>
  </si>
  <si>
    <t>Supply and installation of 10 nos  Solar Street light to five nos public cremation ground under Golaghat Municipal Board. (@ 02 nos. Solar Street Light per cremation ground).</t>
  </si>
  <si>
    <t>President/ Secretary, Pachim Marangi Gramin Bikash Samity.</t>
  </si>
  <si>
    <t>Providing water supply facilities by construction of 02 nos ring well at Nepalikhuti gaon.</t>
  </si>
  <si>
    <t>Bishnupur Kabarstan Managing Committee</t>
  </si>
  <si>
    <t>Provide Financial support for Construction / renovation of Boundary wall at Bishnupur Kabarsthan, Bishnupur</t>
  </si>
  <si>
    <t>M/s Eastern Dekorlast</t>
  </si>
  <si>
    <t>Study for repairing &amp; modification of Traffic island &amp; water fountain of Bata point, Golaghat, earlier constructed by NRL under CSR project.</t>
  </si>
  <si>
    <t>300071 (A)</t>
  </si>
  <si>
    <t>DC Golaghat</t>
  </si>
  <si>
    <t>Kaliyani Block Gaon Unnayan samiti, labanghat</t>
  </si>
  <si>
    <t>FA for repairing of 12 nos. existing ringwell in Kalioni Block Gaon</t>
  </si>
  <si>
    <t>Marwari Yuva Manch, Dergaon</t>
  </si>
  <si>
    <t xml:space="preserve">Settting up a various infrastructure work such as Boundary wall, Drinking water facilities, toilet facilities, rest room at Cremation ground, Dergaon. </t>
  </si>
  <si>
    <t>MAKERZ Design Studio, 01 No Ponka Gaon &amp; Akhil Pathak, Consultant &amp; Builder of Civil Structure.</t>
  </si>
  <si>
    <t>Consultancy service for design &amp; estimation of infrustructure related project to be implemented under CSR program of NRL during 2016-17</t>
  </si>
  <si>
    <t>Professional forum</t>
  </si>
  <si>
    <t>Field visit, monitoring, photograph &amp; report submission of CSR project in nearby areas for the year 2016-17.</t>
  </si>
  <si>
    <t>Numaligarh Schedule Caste Society, Numaligarh, Golaghat</t>
  </si>
  <si>
    <t>Development of playground at Numaligarh Block Gaon.</t>
  </si>
  <si>
    <t>Sports (Item No. (vii) of Schedule-VII)</t>
  </si>
  <si>
    <t>DGM, GEC, APDCL</t>
  </si>
  <si>
    <t>Construction of 11KV line &amp; 11/04 KV 100KVA S/s and LT distribution line for electrification of No. 04 Rongbong Koibortta Gaon</t>
  </si>
  <si>
    <t>Golaghat Electrical Circle, APDCL, UAR, Golaghat as deposit work basis.</t>
  </si>
  <si>
    <t>Construction of 11KV line of length 0.5 km &amp; 1X25 KVA, 11/0.43 sub-Station and along with LT line 1PH-2W &amp; 3ph-4W line of length 1.45 km for Electrification of Sumoni Gaon, Purabangla.</t>
  </si>
  <si>
    <t>Kamargaon Electrical Sub-Division, ASEB Kamargaon</t>
  </si>
  <si>
    <t>Construction of 11KV Line &amp; 100 KVA Sub-Station alongwith L/T Line of length 3ph-4W=1.5 km 1ph-2W=1.0 KM for electrification of Bishnupur Borchapori Gaon.</t>
  </si>
  <si>
    <t>Numaligarh Nagarik Unnayan Mancha</t>
  </si>
  <si>
    <t>Construction of brick drain and RCC pipe culvert along road towards Indusind Bank ATM.</t>
  </si>
  <si>
    <t>Gobindapur Majuli Path Parichalona Committee/ Sarbajanin Bikash Kendra</t>
  </si>
  <si>
    <t>Installation of 02 Nos RCC ring well at Govindpur Majuli gaon &amp; Amlokhital.</t>
  </si>
  <si>
    <t>Asstt Executive Engineer, Bokakhat W.R. Sub-Division</t>
  </si>
  <si>
    <t>Preparation of detailed field Survey , estimation and project report on Protection of Main approach road to Numaligarh Block Gaon adjacent to NRL Township due to continuous erosion of River Kaliyani. Project report to be prepared through Water Resource Department, GOA.</t>
  </si>
  <si>
    <t>Chief Executive Officer, Golaghat Electrical Circle, APDCL, UAR, Golaghat</t>
  </si>
  <si>
    <t>Construction of 100 KVA Sub-Station with renovation &amp; maintenance of L/T 3ph Line of length 1.3 km and construction of LT line (Ph-2W) of length 2.1 km for power supply to the subway of Ouguri Village, Rajabari.</t>
  </si>
  <si>
    <t>recommended</t>
  </si>
  <si>
    <t>CRSSC, NRL</t>
  </si>
  <si>
    <t>Providing Various items to Assam State Forest Department for Mitigation of Man-Animal Conflict and Protection &amp; Conservation of Wildlife in and around Refinery.(Details of items and proposal is attached)</t>
  </si>
  <si>
    <t>Forest and Environment, Animal Welfare etc. (Item No. (iv) of Schedule-VII)</t>
  </si>
  <si>
    <t>consultancy service for preparation of estimate for Protection of approach road to Numaligarh Block Gaon adjacent to NRL Township which had been eroded by River kaliyani.</t>
  </si>
  <si>
    <t>SDO-Civil, Bokakhat</t>
  </si>
  <si>
    <t>Financial support for renovation of welfare centre cum library at Bokakhat town, maintain by SDO-Civil, Bokakhat. (Estimate enclosed)</t>
  </si>
  <si>
    <t>Brihattor Doigrung Ansolik Gramya Unnayan Samittee</t>
  </si>
  <si>
    <t>Financial assistance for construction of Waiting Shed &amp; Earth Filling at Doigrung Crematiion ground at Doigrung, Golaghat</t>
  </si>
  <si>
    <t>Office of the Superintendent of Police, Golaghat</t>
  </si>
  <si>
    <t>Financial assistance for installation of furniture set at newly constructed Wildlife crime control and Anti Rhino Poaching Police Station at Kohara, Bokakhat</t>
  </si>
  <si>
    <t>Construction of new 11KV line to Numaligarh Block Gaon including dismantling of the existing line for the protection work of approach road from the erosion of river Kalioni</t>
  </si>
  <si>
    <t>Construction of 1-P, 2W LT Line for electrification at Numaligarh Block Na Pathar gaon (8 No ward), Numaligarh</t>
  </si>
  <si>
    <t>Nalbari Socio-Cultural Development Trust</t>
  </si>
  <si>
    <t xml:space="preserve">Providing financial assistance for development of Swahid Udyan Park in Nalbari by construction of Boundary Wall. </t>
  </si>
  <si>
    <t>NRL /CSR/MISC/E-24</t>
  </si>
  <si>
    <t>Rittick Hazarika</t>
  </si>
  <si>
    <t>Consutant job detailed architectural , landscape, design estimation &amp; supervision for the development of roundabout at Khanapara, ghy on NH-37</t>
  </si>
  <si>
    <t>M/s Tibrodip Bordoloi</t>
  </si>
  <si>
    <t>Payment for painting and surface cleaning near bata point gOlaghat</t>
  </si>
  <si>
    <t xml:space="preserve">Preparation of background drawing ,NRL logo , name plate writing as per direction of EIC </t>
  </si>
  <si>
    <t>Development of model village- Gandhigaon</t>
  </si>
  <si>
    <t>Development of model village- Na Pather Notun Gaon</t>
  </si>
  <si>
    <t>Development of model village- Chawrabasti</t>
  </si>
  <si>
    <t>Development of model village- Ponka</t>
  </si>
  <si>
    <t>Development of Village Road Infrastructure</t>
  </si>
  <si>
    <t>Development of model village- Mazdoorgaon</t>
  </si>
  <si>
    <t>300058/ 1617300016</t>
  </si>
  <si>
    <t>300062/ 300057/ 1617300003/ 1617300021</t>
  </si>
  <si>
    <t>200095/200108/300057</t>
  </si>
  <si>
    <t>300055/300057</t>
  </si>
  <si>
    <t>200085/ 300057/ 300070</t>
  </si>
  <si>
    <t>Kuruabahi yuvok sangha, Bokakhat</t>
  </si>
  <si>
    <t>Repair of roof shed of Kuruabahi yuvok sangha, Bokakhat</t>
  </si>
  <si>
    <t>Art and Culture, public libraries (Item No. (v) of Schedule-VII)</t>
  </si>
  <si>
    <t>Narayanpur Kiron Yuva Sangha, Bokial</t>
  </si>
  <si>
    <t>Renovation of Narayanpur Yuva Sangha cum library building at Narayanpur village.</t>
  </si>
  <si>
    <t>Completion of balance work of Narayanpur Kiron Yuva Sangha</t>
  </si>
  <si>
    <t>Sachitra Puthi Sanskritic Gosthi</t>
  </si>
  <si>
    <t>FA-SAchitra puthi children drama 500063</t>
  </si>
  <si>
    <t>Headmaster, Numaligarh High School</t>
  </si>
  <si>
    <t>Repairing &amp; painting of boundary fencing of NRL football academy playground at Numaligarh High School.</t>
  </si>
  <si>
    <t>one time</t>
  </si>
  <si>
    <t>SANGAM MUSIC, No 04 Rong-bong, Telgaram.</t>
  </si>
  <si>
    <t>Financial assistance for documentation &amp; preservation of traditional Assamese Biyanaam (marriage Song) by way of Biyanaam book printing &amp; CD recording</t>
  </si>
  <si>
    <t>Okinawa School of Sports Karate , Kamargaon</t>
  </si>
  <si>
    <t xml:space="preserve">Financial assistance for construction of training facilities ie. open hall, equipments, 4-station gym  of Okinawa School of Sports Karate </t>
  </si>
  <si>
    <t>ongoing</t>
  </si>
  <si>
    <t>Golaghat District Sport Association</t>
  </si>
  <si>
    <t>Financial support for improvement of Badminton coaching centre at Golaghat managed through Golaghat District Sport Association.</t>
  </si>
  <si>
    <t>Dergaon Gandharva Sangeet Vidyalaya.</t>
  </si>
  <si>
    <t>Providing financial support for organize Borgeet &amp; Lukogeet workshop at Dergaon through Dergaon Gandharva Sangeet Vidyalaya.</t>
  </si>
  <si>
    <t>President/ Secy, Triveni Sangeet Kala Academy</t>
  </si>
  <si>
    <t>Providing financial support for construction of Triveni Sangeet Kala Academy building towards promotion of art &amp; culture for nearby areas of the refinery.</t>
  </si>
  <si>
    <t>JAZZY An Educational Society, Guwahati.</t>
  </si>
  <si>
    <t>Financial support for organizing All Assam prize money debate competition relieving the theme ' Preservation, Promotion &amp; Presentation of culture of bring unity among the diverse indigenous communities of Assam' to be held district wise and the mega final will be held at Rabindra Bhawan, Guwahati in the month of August, 2016.</t>
  </si>
  <si>
    <t>M/S SPT Sports Pvt. Ltd. Bangalore</t>
  </si>
  <si>
    <t>Operation &amp; maintenance of NRL Football Academy for an interim period of 4 months ( July-Oct 2016)</t>
  </si>
  <si>
    <t>Shristi, New Delhi</t>
  </si>
  <si>
    <t>Fin. Assistance for organising 6 day North east festival in New Delhi</t>
  </si>
  <si>
    <t>Jorhat Tennis Club, Jorhat</t>
  </si>
  <si>
    <t>Financial support for providing Synthetic Tennis Court to Jorhat Tennis Club.</t>
  </si>
  <si>
    <t>L1 bidder (Pradip Kr. Borah)</t>
  </si>
  <si>
    <t>Development of NRL Football Academy Play Field</t>
  </si>
  <si>
    <t>Dergaon Sports Association, Dergaon.</t>
  </si>
  <si>
    <t>Financial support for renovation of Table Tennis Coaching Centre, Dergaon.</t>
  </si>
  <si>
    <t>Sri Bitupan Das</t>
  </si>
  <si>
    <t>Providing financial support for participate of national Level Taekwondo Championship.</t>
  </si>
  <si>
    <t xml:space="preserve">Asam Sahitya Sabha </t>
  </si>
  <si>
    <t>Financial support to Asam Sahitya Sabha for preservation and promotion of literary and cultural works/ contribution of Biswaratna , Padma Vibhushan Dr. Bhupen Hazarika in the field of Art, Liturature and ciulture of Assam for FY-2016-17.</t>
  </si>
  <si>
    <t>Sandhani Lekhika Samoroh Samittee, Bokakhat</t>
  </si>
  <si>
    <t>Providing financial assistance to Sandhani Lekhika Samoroh Samittee, Bokakhat.</t>
  </si>
  <si>
    <t>Ms Diptimoni Baruah, kalioni Block Gaon</t>
  </si>
  <si>
    <t>Providing financial assistance to Ms Diptimoni Baruah, Kalioni Block Gaon for for publication of poem book.</t>
  </si>
  <si>
    <t>Special Olympic Bharat,Assam Chapter.</t>
  </si>
  <si>
    <t>Providing financial support to Mr. Rohan Ho (Differently able person) for perticipation of Floor Ball in the World Winter Games of Special Olympics, Austria 2017.</t>
  </si>
  <si>
    <t>Exposure trip to players of NRL Football Academy to Ghy from 28th to 30th Oct 2016</t>
  </si>
  <si>
    <t>Moumita Bora/ Priyangana Buragohain</t>
  </si>
  <si>
    <t>Financial support for participating in National Level CBSE Table Tennis Cluster II.</t>
  </si>
  <si>
    <t>Padmashree Dr. Robin Banerjee Trust ; Natural History Museum, Golaghat.</t>
  </si>
  <si>
    <t>Financial assistance for construction of Library at Dr. Robin Banerji National History Museum To promote of Art &amp; Culture.</t>
  </si>
  <si>
    <t>Ouguri Rajabari Yuva Sangha.</t>
  </si>
  <si>
    <t>Renovation of Ouguri Rajabari Yuva Sangha.</t>
  </si>
  <si>
    <t xml:space="preserve">Approved </t>
  </si>
  <si>
    <t>Asam Sahitya Sabha, Celebration Committee of Centenary Inaugural Ceremony</t>
  </si>
  <si>
    <t>Financial assistance To ASOM SAHITYA SABHA for Publication of 1st volume of "Asam Sahitya Sabhar Itihash  in commomoration with Centenary Celebration of Asom Sahitya Sabha w.e.f 26th Dec,2016.Book will be printed under 100% assistance from NRL CSR support.</t>
  </si>
  <si>
    <t>Bokakhat District Sports Association</t>
  </si>
  <si>
    <t>Provide Financial support to Bokakhat Dist. Sports Association towards promoting sports by way of conducting All Assam Inter Dist. Sub Junior Football tournament at Numaligarh Where NRL Football Academy is representing Bokakhat Sports Dist.All Assam Football Association requested NRL to support in organizing the tournament as the same will provide great exposure for the young talented footballers of the state.</t>
  </si>
  <si>
    <t>Manipur Horse Riding &amp; Polo Association</t>
  </si>
  <si>
    <t>Providing support to organising 10th Manipur International Polo Tournament at Inphal from 22nd to 29th November, 2016 to promote the dying sports.</t>
  </si>
  <si>
    <t>Jagoran Yuva Sangha</t>
  </si>
  <si>
    <t>Financial assistance for providing sports goods and equipments for gym</t>
  </si>
  <si>
    <t>Provide Financial support to Jagoran Yuva Sangha towards promoting rural sports by way of conducting Sports tournament at 02 no Ponka grant Bishnupur L.P. School.</t>
  </si>
  <si>
    <t>NE Sports Foundation, Tezpur</t>
  </si>
  <si>
    <t>Financial assistance to NE Sports Foundation, Tezpur to promote Badminton by way of organiging Junior Badminton Tournament from 20th to 22nd December,2016 at Indoor Stadium among particiating players from various states of North East India. It is proposed to provide cost of playing consumable i.e Shuttle.</t>
  </si>
  <si>
    <t>Asom Sahitya Sabha</t>
  </si>
  <si>
    <t>Financial assistance for Providing Office furniture to Asom Sahitya Sabha, Central Office at jorhat.</t>
  </si>
  <si>
    <t>North Bengal Table Tennis Association</t>
  </si>
  <si>
    <t>Providing support to North Bengal Table Tennis Association for procurement of TT Board and practice Robot at Siliguri.</t>
  </si>
  <si>
    <t>M/s SPT</t>
  </si>
  <si>
    <t>Financial Assistance for participation of NRL football academy team in teh U-16 youth league organised by All india Football Federation at Imphal, Manipur from 10 - 18 December 2016.</t>
  </si>
  <si>
    <t>M/s SPT Sports Managemetn Pvt. Ltd.</t>
  </si>
  <si>
    <t>Extension of contract service for Operation &amp; Maintenance of NRL football academy for another period of 3 (Three) months from November 2016 to January 2017</t>
  </si>
  <si>
    <t>Indian Council for Child Welfare, Golaghat</t>
  </si>
  <si>
    <t>Financial assistance to Sri Tankeswar Pegu, S/o Sri Biren Pegu, Naramari village, Rangamati, Golaghat awardees of the ICCW’s National Bravery Award, 2016</t>
  </si>
  <si>
    <t>Srimanta Sankaradeva Kalakshetra Society</t>
  </si>
  <si>
    <t xml:space="preserve">Financial assistance to Srimanta Sankaradeva Kalakshetra Society to promote, preserve, restoration and development of Sankari  Kala Kristy (Ankia Bhaona, Borgeet, Satriya Dance etc.) </t>
  </si>
  <si>
    <t>Sibsagar Tennis Club</t>
  </si>
  <si>
    <t>Financial assistance to Sibsagar Tennis Club for procurement of sports accessories for organizing Sivasagar Open Tennis Tournament from 20th to 24th December’ 2016.</t>
  </si>
  <si>
    <t xml:space="preserve">approved </t>
  </si>
  <si>
    <t>4.H.Club, Golaghat</t>
  </si>
  <si>
    <t>Providing financial assistance to 4.H.Club, Golaghat for construction of new Assam type sports room and installation of 2 Nos. Table Tennis Board.(detailed as per estimate)</t>
  </si>
  <si>
    <t>NSSSS</t>
  </si>
  <si>
    <t xml:space="preserve">Financial assistance to Numaligarh Sudhanagar Sakha Sahitya Sabha for honoring and felicitating two renown Assamese Personality (Jatindra Nath Goswami &amp; Purabi Bormudoi) of repute in the filed of Art, Culture &amp; Literature.  </t>
  </si>
  <si>
    <t>Cross Country Flying Club</t>
  </si>
  <si>
    <t>Providing skill development training to 5 Nos. of unemployed Science graduate of nearby locality of Refinery in paramotoring /Powered paragliding sports. This will promote adventure tourism in the neighborhood of Kazaringa National Park and generate self employment.</t>
  </si>
  <si>
    <t>Shri Upen Baruah</t>
  </si>
  <si>
    <t>Financial assistance to Shri Upen Baruah an international Veteran player for starting a sports coaching centre in Atheletics at Khumtai</t>
  </si>
  <si>
    <t>Shri Pobitra Nath</t>
  </si>
  <si>
    <t>Financial assistance to Shri Pobitra Nath of Majuli for participation in Inter University Body Building Championship at Punjab to be held on 7th &amp; 8th Feb'2017.</t>
  </si>
  <si>
    <t xml:space="preserve">One time </t>
  </si>
  <si>
    <t>Sankar Madhav Sanskritik Samaj, Jorhat</t>
  </si>
  <si>
    <t>Promotion of Assamese art &amp; culture through organizing Assam Bhaona Samaroah – 2017 to be held in at Na- Ali Kamalaboria, Jorhat.</t>
  </si>
  <si>
    <t>Jorhat Races</t>
  </si>
  <si>
    <t>Providing financial assistance for training to promote traditional rural sports of mising communities.</t>
  </si>
  <si>
    <t>Reception Committee, Centenary Celebration Asom Sahitya Sabha, Sivsagar</t>
  </si>
  <si>
    <t>Financial support to Asom Sahitya Sabha Centenary celebration at Sibsagar towards promotion of art and culture heritage of Assam.</t>
  </si>
  <si>
    <t xml:space="preserve">All Assam Tennis Association </t>
  </si>
  <si>
    <t>Financial assistance to All Assam Tennis Association for organizing 25th All Assam Inter district Tournament at Kaliyani Club, Numaligarh for promotion of Tennis in Assam.</t>
  </si>
  <si>
    <t>Organising committee, 1st Elite (Sr.) Men National Boxing Championship-2016-17, Guwahati</t>
  </si>
  <si>
    <t xml:space="preserve">Financial assistance to Assam Amateur Boxing Association for organizing 1st Elite (Sr.) Men National Boxing Championship-2016-17 to be held at Guwahati from 8th to 13th Dec’ 2016 towards promotion of boxing sports. </t>
  </si>
  <si>
    <t>Sabda, Jorhat</t>
  </si>
  <si>
    <t xml:space="preserve">Financial assistance to ‘Sabda’, Jorhat for organizing International level Poetry festival namely “KABITA UTSAV-2017” at Gonesh Gogoi Kabita Kanan, Jorhat from 10th to 12th March’ 17 to promote Assamese literature. </t>
  </si>
  <si>
    <t>Golaghat Tennis Club</t>
  </si>
  <si>
    <t>Financial assistance to Golaghat Tennis Club for maintenance of tennis court &amp; procurement of sports accessories for organizing XXIst North East India Open Tennis Championship from 4th to 8th Feb’ 2017.</t>
  </si>
  <si>
    <t>NRL/CSR/15-16/V/046</t>
  </si>
  <si>
    <t>Surveying and computing of earthwork quantities for Bahbari Football filed at Bahbari Village</t>
  </si>
  <si>
    <t>NRL/CSR/16-17/MISC/01</t>
  </si>
  <si>
    <t xml:space="preserve">Ratu Moni Das </t>
  </si>
  <si>
    <t>Fin. Assistance for painting of a physically challenged artist of Tezpur</t>
  </si>
  <si>
    <t>NRL/CSR/FA</t>
  </si>
  <si>
    <t>M/s SPT Sports Management Pvt Ltd</t>
  </si>
  <si>
    <t>AMC NRL F'ball academy op. Apr-Jun 2016- Renewal of annual maintenance contract for operating NRL Football Academy 15-16</t>
  </si>
  <si>
    <t>Promotion of awareness on preventive healthcare, sanitation, safe drinking water, promotion of gender equality, women empowerment  through display of do &amp; don't in local publications, advt in magazine &amp; buying space in public function</t>
  </si>
  <si>
    <t>MISC/ (NRL/CSR/FA/500077)</t>
  </si>
  <si>
    <t>Misc. expenses NRL Football academy</t>
  </si>
  <si>
    <t>NRL/CSR/SBA/81</t>
  </si>
  <si>
    <t>Tilework &amp; Maint. Of school toilets at Sibasagar</t>
  </si>
  <si>
    <t>Lions Club of Numaligarh</t>
  </si>
  <si>
    <t>Project on sustainable waste management for safer environment covering 2 nos. of villages.  (Napathar Gaon &amp; Numaligarh Block Gaon)</t>
  </si>
  <si>
    <t>Flood relief at gandhigaon</t>
  </si>
  <si>
    <t>Assam State Zoo</t>
  </si>
  <si>
    <t xml:space="preserve">Modification of Tata Xenon ambulance for rescue animal at Assam State Zoo. </t>
  </si>
  <si>
    <t>CSRSC,NRL</t>
  </si>
  <si>
    <t>Construction of 5 nos of public toilet (Pay &amp; Use) at Nearby Towns ( Bokakhat, Refinery, Golaghat, Dergaon &amp; Jorhat)</t>
  </si>
  <si>
    <t xml:space="preserve">Procurement &amp; installation of waste paper recycling unit at DPS </t>
  </si>
  <si>
    <t>forest and Environment, Animal Welfare etc. (Item No. (iv) of Schedule-VII)</t>
  </si>
  <si>
    <t xml:space="preserve">Construction committee Silghat </t>
  </si>
  <si>
    <t>Construction of Common Toilet facility for public use in Silghat Jetty Nagaon</t>
  </si>
  <si>
    <t>Sankardev Nethralaya, Guwahati</t>
  </si>
  <si>
    <t>Conducting a free eye screening cum cataract operation camp  for 50 BPL category patients.</t>
  </si>
  <si>
    <t>Health Care (Item No. (i) of Schedule-VII)</t>
  </si>
  <si>
    <t>Amar Sankalpa</t>
  </si>
  <si>
    <t>Reimbursement of bill for coordinating SSA camp</t>
  </si>
  <si>
    <t>Tent house for NRL Helping hand 2015-16</t>
  </si>
  <si>
    <t>Snacks for NRL Helping Hand 2015-16</t>
  </si>
  <si>
    <t>Reimbursement of bill for organising eye camp at Ponka Tribal MES</t>
  </si>
  <si>
    <t>NRL VK Hospital, Township, Numaligarh.</t>
  </si>
  <si>
    <t>Procurement of 5000 nos discharge folders for use at NRL VK Hospital as hospitality purposes to patient.</t>
  </si>
  <si>
    <t>CDSC, NRL</t>
  </si>
  <si>
    <t>Supply &amp; installation of 20 nos of road side standing Waste bin  to be provided at different Public &amp; Market places from Numaligarh to Lettekujan  Market along NH -39 as a part of Swacch Bharat Mission. This also includes maintenance of waste bin for a period of one year. Maintenance of waste bin would be managed through Local Market Management Committee.</t>
  </si>
  <si>
    <t>RODALI-A centre for Cancer awareness &amp; counselling.</t>
  </si>
  <si>
    <t>Providing financial support for 12 nos. Cancer Awareness camps in villages nearby the refinery .</t>
  </si>
  <si>
    <t xml:space="preserve">All Assam Kukibkataeju Martial Arts &amp; Sports Association, Golaghat </t>
  </si>
  <si>
    <t>Financial assistance for organising 05 nos AIDS awareness camps in different public places (a. Public Bus Stand, Golaghat, b. Furkating Railway Station, c. Bengenakhowa, GF Road, d. Bezbaruah Govt. HS, e. NRL Tanker stand)  in Golaghat district.</t>
  </si>
  <si>
    <t>Sri Paban Thakur and his family, No 1 Ponkagrant</t>
  </si>
  <si>
    <t>Financial support to Sri Paban Thakur, residing of No 1 Ponkagrant for rebuilding his house damage due to fire along with  procurement of basic household amenities.</t>
  </si>
  <si>
    <t>Numaligarh Sodhanagar Somipavorty Ponka Anchalik Unnayan Samity.</t>
  </si>
  <si>
    <t>Providing financial support for organize blood donation awareness camp at Telgaram Rangamancha  on 11th June, 2016 in in collaboration with Jorhat Medical College and Hospital &amp; NSSPAUS.</t>
  </si>
  <si>
    <t>Parivartan</t>
  </si>
  <si>
    <t>Organizing Campaigns in 12 nos. schools &amp; 10 nos. public places to promote awareness on Cleanliness and sanitation under Swachh Bharat Mission</t>
  </si>
  <si>
    <t>Joint Forest Management Committee (JFMC)</t>
  </si>
  <si>
    <t>Creation of 20 Hectare Block Plantation as Commemorate Plantation in Deopahar area by planting 50,000 saplings including barbed wire fencing &amp; maintenance of plantation for 05 years.</t>
  </si>
  <si>
    <t>Tent house for organising plantation drive at Deopahar area</t>
  </si>
  <si>
    <t>Financial support for plantation of mango trees during NRL Day 2016.</t>
  </si>
  <si>
    <t>Green Revolutionary Admirable Serene Society, Bokakhat</t>
  </si>
  <si>
    <t xml:space="preserve">Plantation of 1000 saplings on the occasion of World Environment day. </t>
  </si>
  <si>
    <t>Lions Eye Hospital, Jorhat</t>
  </si>
  <si>
    <t>Organizing 14 nos free Eye screening cum cateract detection programme  &amp; screening of students (covering 30 schools) at Golaghat &amp; Jorhat district through Lions Eye Hospital under Project "Dishtri".</t>
  </si>
  <si>
    <t>North Eastern Social &amp; Economic Empowerment (NESEE)</t>
  </si>
  <si>
    <t xml:space="preserve">Construction of 40 nos. septic Tank toilets to individual household of BPL families in Cachar district (at Lakhipur) under rural sanitation development programme as 1st phase.                       </t>
  </si>
  <si>
    <t>Para-cyclist Mr. Rakesh Banik</t>
  </si>
  <si>
    <t>Financial assistance for Charity Ride for Assam Flood affected people from Manali to Guwahati by Para-cyclist Mr. Rakesh Banik.</t>
  </si>
  <si>
    <t>Office of the Sub-Divisional Officer, Bokakhat</t>
  </si>
  <si>
    <t>Distribution of 400 qtl of cattle feed among flood affected villagers under Bokakhat Sub-division. This is as per request from SDO Bokakhat. Items will be distributed through Veterinary dept. of Bokakhat Sub-division.</t>
  </si>
  <si>
    <t>Office of Deputy Commissioner, Golaghat</t>
  </si>
  <si>
    <t>Distribution of 800 qtl cattle feed (wheat bran) in flood affected areas of Dergaon and Khumtai Revenue Circle against request from District Administration.</t>
  </si>
  <si>
    <t>President/Secretary, Numaligarh Refinery Displace Family (Mozdur Gut), Kanaighat.</t>
  </si>
  <si>
    <t>Providing 15 nos. of Low Cost Sanitary Latrine to individual household of  BPL families at Numaligarh Mozdur gaon under Swacch Bharat Mission.</t>
  </si>
  <si>
    <t>Financial support for organizing routine &amp; special mobile medical camps in the nearby areas of the refinery, under Project " Niramoy-2016-17"</t>
  </si>
  <si>
    <t>Career Care, Amar Sankalpa</t>
  </si>
  <si>
    <t>Cleanlinees and awareness drive to 05 nos of LP schools and 04 nos Market place as a part of swachh Bharat Pakhwada from 16th June to 30th  June,2016.</t>
  </si>
  <si>
    <t>Soumarjyoti Bora</t>
  </si>
  <si>
    <t>repainting NRL BOAT AMBULANCE provided the NRHM for people of Majuli</t>
  </si>
  <si>
    <t xml:space="preserve">CSRSC </t>
  </si>
  <si>
    <t>Plantation drive along NH-39 from NRL Township to Purabangla junction</t>
  </si>
  <si>
    <t>Sub Divisional A.H. &amp; Vety Department Bokakhat</t>
  </si>
  <si>
    <t>Financial Support for Organize 04 nos of Vetenery health cum Vaccination camp at flood affected villages under Bokakhat sub division covering Nikorighat; Dhanshirimukh, Khora &amp; Bonkowal through State Vety Dept,Bokakhat</t>
  </si>
  <si>
    <t>Construction of 100 nos. of Low Cost Sanitary Latrines to the BPL families of nearby villages of the Refinery.</t>
  </si>
  <si>
    <t>Kaziranga Tiger Conservation Foundation, as recommended by DFO, Eastern Assam Wild Life Division, Bokakhat</t>
  </si>
  <si>
    <t>Installation of aesthetically designed signage at Kaziranga stretch from Burapahar range to Kohora Central range along NH-37 (46 KM) for promotion of awareness on environment &amp; wildlife conservation.</t>
  </si>
  <si>
    <t>M/s Onkarmal Naresh Kumar</t>
  </si>
  <si>
    <t>Providing G.I. sheet, bamboos to nearby houuseholds badly damaged by wild elephant.</t>
  </si>
  <si>
    <t>Distribution of 250 qtl of cattle feed  (wheat bran) among flood affected villagers under Bokakhat Sub-division. This is as per request from DC, Golaghat . Items will be distributed through Veterinary dept. of Bokakhat Sub-division.</t>
  </si>
  <si>
    <t>Vivekananda Kendra Arun Jyoti Arunachal Pradesh.</t>
  </si>
  <si>
    <t>Financial support for organizing free surgery camp for poor and needy patients of Arunachal Pradesh (Tirap, Changlang and Longding dist.) under multidimentional service project of Vivekananda Kendra -'Arunjyoti' during the month of Dec. 2016.</t>
  </si>
  <si>
    <t>Upper Assam Handicapped Centre, Bokakhat.</t>
  </si>
  <si>
    <t>Providing food support to physically challenged inmates of upper Assam Handicapped Centre, Bokakhat for 2016-17</t>
  </si>
  <si>
    <t>Ms Renu Bora</t>
  </si>
  <si>
    <t>Providing financial assitsance to Renu Bora for renovation of house damaged by hailstorm.</t>
  </si>
  <si>
    <t>Commercial Tendering process on L1 basis</t>
  </si>
  <si>
    <t>Construction of 231 nos. Low Cost Sanitary Latrines to the BPL families of nearby villages of the Refinery.</t>
  </si>
  <si>
    <t>SP Golaghat</t>
  </si>
  <si>
    <t xml:space="preserve">Financial Assistance for Construction of Police Guest House at Kohora towards protection of the wildlife of kaziranga National Park. </t>
  </si>
  <si>
    <t>Bokakhat Nirman Gut (NGO)</t>
  </si>
  <si>
    <t>Providing financial support forRepairing &amp; renovation of Bokakhat Anath Ashram Building.</t>
  </si>
  <si>
    <t>Construction of chain link fencing around Chakradeo Desabhakta Tarun Ram Phukan M.E. School, near Deepor Beel along with plantation of local varity fruit bearing trees through employees of NRL, Guwahati office and School Children.</t>
  </si>
  <si>
    <t>SANSCAR (NGO), Numaligarh</t>
  </si>
  <si>
    <t>Providing financial assistance for conduct STREET PLAYS ON ROAD SAFETY throughout Golaghat District.</t>
  </si>
  <si>
    <t>Ponka Gaon Krisi Surakhaya Samiti</t>
  </si>
  <si>
    <t>Providing 06 bandle G I Sheet for construction of Tangi Ghar and 06 nos. Mosquito Net at Ponka Gaon for protection of wild animal.</t>
  </si>
  <si>
    <t>Installation of 4 nos. road side waste bin at Doigrung Bazar area as a part of Swacch Bharat Mission.</t>
  </si>
  <si>
    <t>Office of Sub- Divisional Officer, Bokakhat &amp; Veterinary dept., Bokakhat</t>
  </si>
  <si>
    <t>Additionally distributed of 50 qtls. Cattle feed (wheat bran) among flood affected villagers of Dhansiri Ali, 01 No Boraikhowa &amp; Beloguri Gaon under Bokakhat sub-division. This is as per request from Office of the SDO (Civil), Bokakhat.</t>
  </si>
  <si>
    <t>Construction of 04 nos of Pay &amp; Use Public Toilet Block in entrance of 4 different ranges (Kohora, Bagori, Burapahar &amp; Agoratoli)of Kaziranga National Park. Maintenance expenditure shall be taken up seperately.</t>
  </si>
  <si>
    <t>Eureka Forbes institute of environment</t>
  </si>
  <si>
    <t>Installation of safe &amp; clean drinking water purification solutions at Marangi Mahavidyalaya, Golaghat through Eureka Forbes Ltd. (institute of environment)as per detailed techno commercial proposal attached.</t>
  </si>
  <si>
    <t>Akhil Bharatiya Vridhajan Sewa Ashram Sanstha, Jorhat.</t>
  </si>
  <si>
    <t>Financial assistance for construction of Mini Health Centre at "Amarawati" Old Age Home under Akhil Bharatiya Vridhajan Sewa Ashram Sanstha, Jorhat.</t>
  </si>
  <si>
    <t>Purba Dhansara Jote Jana Kalyan Samity, Darjeeling</t>
  </si>
  <si>
    <t>Sponsorship for distribution of 50 nos. of blankets amongs poor people of nearby areas of SMT.</t>
  </si>
  <si>
    <t>Construction of Chain Link Fencing by road side of NH-39 (in front of NRMT) from South-East corner to Material Gate- adjacent to NRL boundary wall for plantation of tree.</t>
  </si>
  <si>
    <t>Construction of toilet blocks at residence of Sri Achyut Das a visually impaired person of Rajanari, Bokakhat as per drawing &amp; estimate under Swacch Bharat Mission.</t>
  </si>
  <si>
    <t>Numaligarh Tel Sudhanagar Ussedita Porial (Mazdur) Gaon Samittee.</t>
  </si>
  <si>
    <t>Continuous cleanliness Drive at Kanaighat, Telgaram Tiniali and Bishnupur under Swacch Bharat Mission (SBM).</t>
  </si>
  <si>
    <t>Divisional Forest Officer, Golaghat</t>
  </si>
  <si>
    <t>Financial assistance for hiring of three nos. Kunkee Elephant for Man-Elephant conflict management from January to March’ 2017 (Rs. 45,000 X 3 Nos. x 3 months.)</t>
  </si>
  <si>
    <t>Swabalambi</t>
  </si>
  <si>
    <t>Baseline Survey for Community Based Rehabilitation (CBR) program for people with disable in 4 Gaon Panchayats of Morangi Development Block (Ponka; Rongbong; Letekujan  &amp; Doigrong )</t>
  </si>
  <si>
    <t>Respective Project Development Committee / L1 Bidder</t>
  </si>
  <si>
    <t>Supply &amp; Istallation of 12 nos. dustbin and providing Public Toilet at Jugibari Rural Tourist project site, Jugibari as per drawing &amp; specification</t>
  </si>
  <si>
    <t>Boraikhowa Model Village Committee</t>
  </si>
  <si>
    <t>Construction of 73 Nos. Low Cost Toilet at Boraikhowa Model Village</t>
  </si>
  <si>
    <t>SAnitation (Item No. (i) of Schedule-VII of the Companies Act, 2013)</t>
  </si>
  <si>
    <t>Zila Sainik Welfare Office, Golaghat</t>
  </si>
  <si>
    <t>Donation for Armed Forces Flag Day Fund for the welfare of ware windows, disabled soldiers, orphan children and families of ex-servicemen in penury</t>
  </si>
  <si>
    <t>Ministry of Health &amp; Family Welfare, GOI</t>
  </si>
  <si>
    <t>Contribution to Ministry of Health &amp; Family Welfare for defraying treatment cost of life threatening diseases of Poor Patients.</t>
  </si>
  <si>
    <t>Marangi Mahavidyalaya (Jr)</t>
  </si>
  <si>
    <t>Construction of Toilet Block for Boys &amp; Girls including water supply connection at Marangi Mahavidyalaya, (Jr.) Doigrung as per drawing &amp; estimate enclosed.</t>
  </si>
  <si>
    <t>Golaghat District Moina Parijat</t>
  </si>
  <si>
    <t>Construction of common Toilet Block for Boys &amp; Girls at Golaghat District Moina Parijat Office, Pulibor, Golaghat</t>
  </si>
  <si>
    <t>Payment against cleanliness drive in and around the area of Baba Than Shiv Temple under Swacch Bharat Mission (SBM)</t>
  </si>
  <si>
    <t>Supply and installation of 30 Nos. road side standing Waste Bin (as per drawing &amp; specification attached) to be installed at different public &amp; market places (as per list attached) as a part of Swacch Bharat Mission</t>
  </si>
  <si>
    <t>Financial assistance to Sri Jibon Das of Seoujpur Gaon, 4 No Rongbong for repairing of his house damaged by wild elephant.</t>
  </si>
  <si>
    <t>Nabajyoti Physiotherapy Research Centre, Dergaon</t>
  </si>
  <si>
    <t>Financial assistance to Nabajyoti Physiotherapy Research Centre, Dergaon for treatment of 100 nos. poor people suffering from Knee pain including one month physiotherapy treatment and providing necessary supplements &amp; knee braces for three months.</t>
  </si>
  <si>
    <t>SMC, Bokial High School</t>
  </si>
  <si>
    <t>Construction of Boy's Toilet Block at Bokial High School, Bokial as per drawing &amp; estimate enclosed.</t>
  </si>
  <si>
    <t>Financial support for organizing routine &amp; special mobile medical camps in the nearby areas of the refinery under project "Niramoy 2017-18".</t>
  </si>
  <si>
    <t>Providing financial assistance for development of Swahid Udyan Park in Nalbari by construction of Boundary wall as per detailed drawing &amp; estimate.</t>
  </si>
  <si>
    <t>Hafaluting kala Kristi Kendra, Hafaluting, Sivasagar</t>
  </si>
  <si>
    <t>Construction of common toilet block for Gents &amp; Ladies at Hafaluting Anchalik Kala Kristi Kendra, Hafaluting, Sivasagar as per detailed drawing &amp; estimate enclosed.</t>
  </si>
  <si>
    <t>Cleaning and Sweeping in and around the road along NH-39 from Township gate to Dhuliagaon from 10th – 22nd January’ 2017 by engaging PAP contractors in view of Numaligarh Marathon 2017.</t>
  </si>
  <si>
    <t>Providing 3 nos. of drinking water storage tank to Srimanta Sankardeva Sangha, Bishnupur Prathamik Sakha</t>
  </si>
  <si>
    <t>Nilkamal Limited</t>
  </si>
  <si>
    <t>Road safety items</t>
  </si>
  <si>
    <t>various</t>
  </si>
  <si>
    <t>Assistance provided for treatment of critical ailment to persons from economically weaker section of the society</t>
  </si>
  <si>
    <t>4500017090</t>
  </si>
  <si>
    <t>Shop N Save</t>
  </si>
  <si>
    <t>Distribution of T-Shirt with NRL Logo for Road Safety initiative</t>
  </si>
  <si>
    <t>Eastern Hardware &amp; Electrical</t>
  </si>
  <si>
    <t>Providing Dragon Search Light to nearby beneficiaries</t>
  </si>
  <si>
    <t>NRL/CSR/2016-17/misc</t>
  </si>
  <si>
    <t>Payment for contour survey of Deopahar Archeological Park</t>
  </si>
  <si>
    <t>Misc</t>
  </si>
  <si>
    <t>Project</t>
  </si>
  <si>
    <t>contr</t>
  </si>
  <si>
    <t>Sector</t>
  </si>
  <si>
    <t>"Paricchannata" a scheme to construct   Low Cost Sanitary toilet for BPL household to ensure better health and Hygine including elimination of open defecation.</t>
  </si>
  <si>
    <t>"Swacchh Vidyalaya Abhiyan" A project to construct toilet block and its maintainince  at schools in Assam</t>
  </si>
  <si>
    <t>Construction of Public Toilets (pay &amp; Use) facility in nearby towns</t>
  </si>
  <si>
    <t xml:space="preserve"> Installation of waste bin in nearby market areas and maintenance of the same through local market Committees </t>
  </si>
  <si>
    <t>Organizing awareness Campaigns &amp; Cleanliness drives in schools , nearby market places, etc.to promote Cleanliness and sanitation under Swachh Bharat Mission</t>
  </si>
  <si>
    <t>Construction of Toilets blocks in common places</t>
  </si>
  <si>
    <t xml:space="preserve"> Project "Dishtri" - Free Eye screening cum cataract detection and operation programme for underpreviledge section of socities and school children</t>
  </si>
  <si>
    <t xml:space="preserve">"Niramoy"  a project to organize routine free mobile medical camp in the villages in the vicinity of NRL in collaboration with VK NRL Hospital. </t>
  </si>
  <si>
    <t>"NRL Helping Hand" A scheme that support differently abled people by way of providing aid and appliances, supporting rehabilitation and to providing food, facilities, including livelihood training etc.</t>
  </si>
  <si>
    <t>Assistance provided for treatment of critical ailment to persons from economically weaker section of the society.</t>
  </si>
  <si>
    <t>Awareness camps for critical ailments</t>
  </si>
  <si>
    <t xml:space="preserve">Providing water supply facility under Project "Jeevandhara" by reviving existing piped water scheme and repair &amp; renovation of existing  ringwells in nearby villages </t>
  </si>
  <si>
    <t>Providing assistance to farmers  of nearby localities for traditional &amp; alternate farming by way of providing fertilizers, seeds, tractorization support etc.</t>
  </si>
  <si>
    <t>Providing amenities to nearby schools for better educational environment including used computers</t>
  </si>
  <si>
    <t xml:space="preserve">Construction of new school infrastructures </t>
  </si>
  <si>
    <t>Repair &amp; renovation of  nearby schools building and other facilities</t>
  </si>
  <si>
    <t>Operation of Digital Literacy Curriculum at Letekujan Tea Estate in association with IRDIS, Guwahati</t>
  </si>
  <si>
    <t>Providing support for setting up coaching centres in 5 schools etc for additional educational support as well as career guidance/ Awareness and programmes on career devp</t>
  </si>
  <si>
    <t>Financial support for organizing a programme to felicitate and honour the rank holders of HSLC, High Madrasa &amp; HSSLC examination-2016</t>
  </si>
  <si>
    <t xml:space="preserve">Promotion of Education by providing  scholarship to the students under various  schemes like  "Gyandeep", "Prerona" "Dronacharya" </t>
  </si>
  <si>
    <t>Setting up libraries in nearby schools/ common libraries under project "Library for all".</t>
  </si>
  <si>
    <t>Financial support to students of economically weaker section of the society and physically challenged students to pursue higher education</t>
  </si>
  <si>
    <t>Project " Uttoron"- providing skill development training on Nursing, Welding Technology, Sewing etc. to unemployed youths and persons with disabilities</t>
  </si>
  <si>
    <t>Project "Swanirbhar" -Promoting local entrepreneurs, SHGs, JLGs for setting up various  livelihood avenues</t>
  </si>
  <si>
    <t xml:space="preserve">Assistance to various units/ institutions for providing training on wax based items and promoting wax entrepreneurs  </t>
  </si>
  <si>
    <t>Lease Rental and developemental charge for plot of Land for setting up of VKNRL Nursing School and operation of the Trust</t>
  </si>
  <si>
    <t>Awareness programmes on Road safety and providing road safety items</t>
  </si>
  <si>
    <t>Development of rural infrastructure like construction of waiting shed, boundary wall in crematorium &amp; kabarsthan, repair&amp; renovation of community halls etc. in villages nearby the refinery</t>
  </si>
  <si>
    <t>Relief &amp; rehabilitation people affected by floods, calamities, hailstorm etc.</t>
  </si>
  <si>
    <t>Organizing veterinary vaccination camps in and around refinery for animal welfare and Renovation of Vetenieary ambulance to be provided at Assam State Zoo, Guwahati</t>
  </si>
  <si>
    <t>Promoting environment protection through awareness programmes, plantation drives, support to man animal conflict migitation, waste paper recycling etc.</t>
  </si>
  <si>
    <t xml:space="preserve">Financial support to various organizations for Promotion of art, culture &amp; Literature of Assam </t>
  </si>
  <si>
    <t xml:space="preserve">Providing financial support for repair/ renovation of  local socio-cultural organisations  for promotion of art &amp; culture. </t>
  </si>
  <si>
    <t>Development of infrastructure/facilities for uplifting sports in nearby areas</t>
  </si>
  <si>
    <t xml:space="preserve">Financial support for coaching at Table Tennis  &amp; Badminton Coaching Centre  at Golaghat and Furkating  and participating in various tournaments for Badminton, TT, tennis etc. under project "Khel Prashikshan" </t>
  </si>
  <si>
    <t>Operation and maintenance of NRL Football Academy at Numaligarh under project "Khel Prakshishan"</t>
  </si>
  <si>
    <t>Support to local talents toparticipate in sports events</t>
  </si>
  <si>
    <t>Livelihood and Sanitation programme at Flood affected ST village Boraikhowa</t>
  </si>
  <si>
    <t>Promotion of Livelihood  of Women SHG through cultivation of edible mushroom</t>
  </si>
  <si>
    <t>Assistance to women SHGs/ local weaving units etc for empowerment of Women</t>
  </si>
  <si>
    <t xml:space="preserve">Developement of Village Road </t>
  </si>
  <si>
    <t xml:space="preserve">Development of  Model Village  </t>
  </si>
  <si>
    <t>Providing electrification in nearby villages through APDCL under Deposit Work</t>
  </si>
  <si>
    <t>OVERHEADS</t>
  </si>
  <si>
    <t>Amt spent</t>
  </si>
  <si>
    <t xml:space="preserve">Construction of VKNRL Nursing School and equipments for setting up the school </t>
  </si>
  <si>
    <t xml:space="preserve">Promotion of Education by providing  scholarship to the students under various  schemes like  "Gyandeep", "Prerona" "Dronacharya“, Top 100, Special scholarship,   </t>
  </si>
  <si>
    <t xml:space="preserve">Providing water supply facility under Project "Jeevandhara" by reviving existing piped water scheme at Letekujan </t>
  </si>
  <si>
    <t xml:space="preserve">Development of  5 nos. Model Village  </t>
  </si>
  <si>
    <t>Actual expected exp.</t>
  </si>
  <si>
    <t>app</t>
  </si>
  <si>
    <t>exp</t>
  </si>
  <si>
    <t>changed</t>
  </si>
  <si>
    <t>Maintenance of school toilets</t>
  </si>
  <si>
    <t>Name of Project / Activity</t>
  </si>
  <si>
    <t>Beneficiaries</t>
  </si>
  <si>
    <t xml:space="preserve">Approved Amt </t>
  </si>
  <si>
    <t>Amount spent * on CSR Activity/Project (Rs in Lakh)</t>
  </si>
  <si>
    <t xml:space="preserve">Operation of VKNRL Nursing School including Lease Rental for plot of Land for setting up of  the school </t>
  </si>
  <si>
    <t>Providing support for setting up coaching centres in 5 schools etc for additional educational support as well as career guidance and Awareness  programmes on career devp</t>
  </si>
  <si>
    <t>Awareness camps for critical ailments like AIDS, Cancer</t>
  </si>
  <si>
    <t>Support to local talents to participate in sports events &amp; to organise rural sports</t>
  </si>
  <si>
    <t>Commitment Amount</t>
  </si>
  <si>
    <t>Expenditure Amount</t>
  </si>
  <si>
    <t>Commitment Balance</t>
  </si>
  <si>
    <t>Expenditure Balance</t>
  </si>
  <si>
    <t xml:space="preserve">128 Households </t>
  </si>
  <si>
    <t xml:space="preserve">Promotion of Livelihood  of Women SHG through cultivation of edible Mushroom </t>
  </si>
  <si>
    <t xml:space="preserve">Women SHG of nearby areas </t>
  </si>
  <si>
    <t>3 nos. SHG/ 20 Weavers of nearby areas</t>
  </si>
  <si>
    <t xml:space="preserve">Financial support to Mangala Seva Samithi Trust, Mangalore to bring up 25 nos. orphan children Scheduled Tribe) of Meghalaya in the trust for one year </t>
  </si>
  <si>
    <t>25 orphaned ST children of Meghalaya</t>
  </si>
  <si>
    <t xml:space="preserve">Installation of Solar Home Lighting System in 07unelectrified villages in nearby areas of Refinery &amp; Public crematorium </t>
  </si>
  <si>
    <t xml:space="preserve">290 households; 5 crematorium  </t>
  </si>
  <si>
    <r>
      <t xml:space="preserve">Assistance to women SHGs/ local weaving units towards empowerment of Women. </t>
    </r>
    <r>
      <rPr>
        <sz val="12"/>
        <color rgb="FFFF0000"/>
        <rFont val="Calibri"/>
        <family val="2"/>
      </rPr>
      <t xml:space="preserve"> </t>
    </r>
  </si>
  <si>
    <t>Assistance to farmers  of nearby localities by way of providing fertilizers, seeds, Community nursery for Seedling , tractorization support etc.</t>
  </si>
  <si>
    <t xml:space="preserve">Over 500 Farmers of nearby areas </t>
  </si>
  <si>
    <t>Project "Swanirbhar" - Promoting local entrepreneurs, SHGs, JLGs for setting up various  livelihood avenues</t>
  </si>
  <si>
    <t xml:space="preserve"> 20 JLG </t>
  </si>
  <si>
    <t xml:space="preserve">Assistance to various units/ institutions for providing  5 nos. training on wax based items and promoting wax entrepreneurs  </t>
  </si>
  <si>
    <t>135 Trainees of North-East India</t>
  </si>
  <si>
    <t xml:space="preserve">Setting up of  VKNRL School of Nursing at Ponka grant ,Numaligarh </t>
  </si>
  <si>
    <t xml:space="preserve">40 girls every year </t>
  </si>
  <si>
    <t xml:space="preserve">Outside Training to 50 of technical Contract Workers of Refinery </t>
  </si>
  <si>
    <t xml:space="preserve">50 contract workers </t>
  </si>
  <si>
    <t xml:space="preserve">Baseline study of villages within 5 KM radius of Refinery. </t>
  </si>
  <si>
    <t>Nearby villages of the Refinery</t>
  </si>
  <si>
    <t>UTTORAN</t>
  </si>
  <si>
    <t xml:space="preserve">Providing amenities to nearby schools for better educational environment </t>
  </si>
  <si>
    <t xml:space="preserve">3200 students </t>
  </si>
  <si>
    <t xml:space="preserve">Construction of  3 nos new school infrastructures </t>
  </si>
  <si>
    <t xml:space="preserve">250 Students </t>
  </si>
  <si>
    <t xml:space="preserve">Repair &amp; renovation of  17 nos. of schools in Golaghat District </t>
  </si>
  <si>
    <t xml:space="preserve">1750 students </t>
  </si>
  <si>
    <t xml:space="preserve"> Digital Literacy programme at Letekujan Tea Estate in association with IRDIS, Guwahati</t>
  </si>
  <si>
    <t xml:space="preserve">231 students </t>
  </si>
  <si>
    <t xml:space="preserve">Setting up 5 nos. of after School coaching centre's in nearby schools including  assistance provided for career guidance </t>
  </si>
  <si>
    <t xml:space="preserve">458 students </t>
  </si>
  <si>
    <t xml:space="preserve">292 students across Assam </t>
  </si>
  <si>
    <t xml:space="preserve">Providing  scholarship to students of Golaghat &amp; Siliguri under schemes Gyandeep, Prerona &amp;Dronacharya </t>
  </si>
  <si>
    <t xml:space="preserve">Setting up libraries in 5 nos. public places under project "Library for all" </t>
  </si>
  <si>
    <t xml:space="preserve">People of Golaghat District </t>
  </si>
  <si>
    <t xml:space="preserve">Distribution of Test Papers among the HSLC students of  22 nearby schools  </t>
  </si>
  <si>
    <t xml:space="preserve">1854 students </t>
  </si>
  <si>
    <t xml:space="preserve">4 nos. </t>
  </si>
  <si>
    <t xml:space="preserve">100% Literacy drive in  4 nearby villages of Refinery through 10 centre's </t>
  </si>
  <si>
    <t xml:space="preserve">Financial support to VK Rock Memorial &amp; Vivekananda Kendra for setting up a Girls school at Khatkhati ; Karbi Anglong </t>
  </si>
  <si>
    <t>- </t>
  </si>
  <si>
    <t xml:space="preserve">Under Project "Jeevandhara" provide drinking water to nearby villagers by renovation of existing water scheme at Letekujan and installation of ring wells in nearby villages </t>
  </si>
  <si>
    <t>People of Letekujan &amp; Rajabari area </t>
  </si>
  <si>
    <t xml:space="preserve">Improvement of  11 nos. Village Road within 10 KM radius of Refinery </t>
  </si>
  <si>
    <t xml:space="preserve"> People of nearby areas </t>
  </si>
  <si>
    <t xml:space="preserve">Development of 5 nos. Model Villages   </t>
  </si>
  <si>
    <t xml:space="preserve"> People of model vill. </t>
  </si>
  <si>
    <t xml:space="preserve">Electrification of 9 villages adjacent to Refinery through APDCL as deposit Work. </t>
  </si>
  <si>
    <t xml:space="preserve"> People of 9 villages </t>
  </si>
  <si>
    <t xml:space="preserve">Development of rural infrastructure like construction of community halls ; boundary wall in crematorium , waiting shed etc. in villages. </t>
  </si>
  <si>
    <t>People of nearby villages </t>
  </si>
  <si>
    <t xml:space="preserve">Consultancy service for design &amp; estimation of infrastructure related project </t>
  </si>
  <si>
    <t xml:space="preserve"> - </t>
  </si>
  <si>
    <t xml:space="preserve">Awareness program on Road safety and providing road safety items to District Administration </t>
  </si>
  <si>
    <t>People in general </t>
  </si>
  <si>
    <t>Construction of 8 nos. of Public Toilets facility in nearby towns</t>
  </si>
  <si>
    <t xml:space="preserve"> People in general </t>
  </si>
  <si>
    <t xml:space="preserve">"Parichannata" a scheme to construct   Low Cost Sanitary toilet for BPL household. </t>
  </si>
  <si>
    <t xml:space="preserve">250 Household </t>
  </si>
  <si>
    <t xml:space="preserve"> Installation of  30 waste bin in nearby market areas including maintenance through local market Committees </t>
  </si>
  <si>
    <t xml:space="preserve">Organizing  35 nos awareness Campaigns &amp; Cleanliness drives in schools , nearby market places for promotion of Swachh Bharat Mission through Parivartan ,NGO </t>
  </si>
  <si>
    <t> People in general</t>
  </si>
  <si>
    <t xml:space="preserve">Relief &amp; rehabilitation of people affected by Natural Calamities </t>
  </si>
  <si>
    <t>Promoting environment protection through awareness program, plantation drives, support to man animal conflict mitigation, waste paper recycling etc.</t>
  </si>
  <si>
    <t xml:space="preserve">Organizing  4 nos. of veterinary vaccination camps in Nearby villages  </t>
  </si>
  <si>
    <t>04 villages </t>
  </si>
  <si>
    <t xml:space="preserve">Conduct 13 Free Eye screening cum cataract detection and operation camp under Project "Dishtri”.  Conducted 32 School Eye Screening Camp. </t>
  </si>
  <si>
    <t xml:space="preserve">2482 patients screened, 334 cataract operation.3232 Students </t>
  </si>
  <si>
    <t xml:space="preserve">234 camps, 15287 nos. patients </t>
  </si>
  <si>
    <t xml:space="preserve">"NRL Helping Hand" A scheme that support differently abled people by way of providing aid and appliances, supporting rehabilitation and to providing food, facilities etc </t>
  </si>
  <si>
    <t xml:space="preserve"> Inmates of UAHC, Bokakhat; PwD of 4 panchayats </t>
  </si>
  <si>
    <t xml:space="preserve">Organized 10 nos. of Awareness camps for critical ailments like AIDS, Cancer etc. </t>
  </si>
  <si>
    <t xml:space="preserve">Around 350 people of nearby villages </t>
  </si>
  <si>
    <t xml:space="preserve">“Construction of toilet in 2 Schools &amp; maintenance of 103 toilets in 93 Schools under Swacchh Vidyalaya Abhiyan” </t>
  </si>
  <si>
    <t xml:space="preserve">103 toilets maintained, 2 toilets under const. </t>
  </si>
  <si>
    <t xml:space="preserve">95 nos. </t>
  </si>
  <si>
    <t>People of Assam at large </t>
  </si>
  <si>
    <t>People of Golaghat at large </t>
  </si>
  <si>
    <t>Financial support to Asam Sahitya Sabha for preservation and promotion of literary and cultural works/ contribution of Biswaratna , Padma Vibhushan Dr. Bhupen Hazarika in the field of Art, Literature and culture of Assam for FY-2016-17.</t>
  </si>
  <si>
    <t>People of nearby areas </t>
  </si>
  <si>
    <t xml:space="preserve">Players of resp. institutes </t>
  </si>
  <si>
    <t xml:space="preserve">40 players  </t>
  </si>
  <si>
    <t xml:space="preserve">TOTAL </t>
  </si>
  <si>
    <t>Livelihood and Sanitation program at Flood affected ST village Boraikhowa under Bokakhat Sub division, Golaghat,Assam</t>
  </si>
  <si>
    <t>Providing financial assistance to Sri Chinmay Bora, (Asst. Coach, NRL Football academy) for undergoing AFC “C” certificate course at Pune, Maharastra from 1st to 13th March’ 2017.</t>
  </si>
  <si>
    <t>Financial assistance to M/s Karunadhara for supporting poor physically / mentally challenged and critically ill patient of Assam</t>
  </si>
  <si>
    <t>upto Feb 2017( GL upto 23 feb 2017)</t>
  </si>
  <si>
    <t>upto mar2017( GL upto 31 mar 2017)</t>
  </si>
  <si>
    <t>PR: 10064510/PO-4500017479, 4500017483</t>
  </si>
  <si>
    <t>Consultancy services for Nursing school</t>
  </si>
  <si>
    <t>Project dept</t>
  </si>
  <si>
    <t>Expn.on Purchase of books VK Nurshing School</t>
  </si>
  <si>
    <t>PR:10064511/ PO:4500017386</t>
  </si>
  <si>
    <t>Financial assistance for conducting skill development training programme on Candle Making at Imphal in association with KVIB, Manupur.</t>
  </si>
  <si>
    <t>The National Small Industries Corporation Ltd.</t>
  </si>
  <si>
    <t>Financial assistance for renovation of Dergaon Town Senior Basic School including repairing of Roof trusses, Floors, Doors &amp; Windows, Ceiling work, installation of new Dyna roof etc</t>
  </si>
  <si>
    <t>SMC, Dergaon Town Senior Basic School</t>
  </si>
  <si>
    <t>Construction of a new class room building at Chowkana Bilpar L. P. School at Kachupathar, Khumtai</t>
  </si>
  <si>
    <t>SMC, Chowkana Bilpar L P School</t>
  </si>
  <si>
    <t>Financial assistance for providing 100 pairs desk-bench sets and 20 nos. ceiling fan to Rangapani High School</t>
  </si>
  <si>
    <t>Financial support for procurement of pipe fittings &amp; related accessories for providing house connection to 50 households belongs to BPL category to commision the letekujan grant piped water supply scheme executed through PHED, Golaghat as deposit work</t>
  </si>
  <si>
    <t>PHE Deptt., Golaghat</t>
  </si>
  <si>
    <t>Financial support for organizing routine &amp; special mobile medical camps in the nearby areas of the refinery, under Project " Niramoy-2015-16</t>
  </si>
  <si>
    <t>Measures for the benefit of armed forces veterans, war widows and their dependents</t>
  </si>
  <si>
    <t>M/s Dhansiri Gana Mancha, Sarupather.</t>
  </si>
  <si>
    <t xml:space="preserve">Proposal for organizing 10 nos of Legal awareness camp in villages of Golaghat district </t>
  </si>
  <si>
    <t>NRL/CSR/SBA/82</t>
  </si>
  <si>
    <t>Tilework &amp; Maint. Of school toilets at Sibasagar(49 school)</t>
  </si>
  <si>
    <t>Tilework &amp; Maint. Of school toilets at Golaghat (38 schools)</t>
  </si>
  <si>
    <t>Marangi Rajahua Natghar</t>
  </si>
  <si>
    <t>Fin support for Repairing of Marangi Rajahua Natghar</t>
  </si>
  <si>
    <t>Providing support to District Administration, Golaghat for organizing "Namami Brahmaputra" the biggest River festival of India to promote Brahmaputra as a culture, Civilization , economy &amp; lifeline of Assam from 31st to 4th April,2017.</t>
  </si>
  <si>
    <t>Providing support to District Administration, Golaghat</t>
  </si>
  <si>
    <t>1617500052/  1617500054</t>
  </si>
  <si>
    <t>Electrification of Bercap Gaon under Bokakhat Sub Division by providing cost of service connection to 47 nos. of BPL families as per estimate submitted by APDCL, Kamargaon Sub Division (Which includes cost of single ph. Meter; Load security &amp; installation charges)</t>
  </si>
  <si>
    <t>GEC, APDCL, Golaghat</t>
  </si>
  <si>
    <t>Domain Registration for VKNRL Nursing School</t>
  </si>
  <si>
    <t>PR:10064470/PO:4500017370</t>
  </si>
  <si>
    <t xml:space="preserve"> M/s Karunadhara</t>
  </si>
  <si>
    <t>300041/ PO: 4300049465</t>
  </si>
  <si>
    <t>Society</t>
  </si>
  <si>
    <t>NGO</t>
  </si>
  <si>
    <t xml:space="preserve">Directly by CPSE </t>
  </si>
  <si>
    <t>State Govt</t>
  </si>
  <si>
    <t>Trust</t>
  </si>
  <si>
    <t>Promoting Swarasati Women Self Help Group, Telgaram for starting up an income generating scheme on Hybrid Piggery firm (Sow &amp; Boar) under the project empowering of women.</t>
  </si>
  <si>
    <t>Financial assistance to Mrs. Dimpi Borah, Doigrung for starting up a Handloom fabrics production centre for her sustainable Livelihood (Promotion of income generation).</t>
  </si>
  <si>
    <t xml:space="preserve">Financial assistance to Vivekananda Kendra Rock Memorial &amp; Vivekananda Kendra for construction of accommodation facility service people of VK at Dibrugarh </t>
  </si>
  <si>
    <t>Financial assistance for conducting awareness programme on ‘Role of Mother in Rearing Children’ to be performed in five backward villages nearby NRL (i)  No Ponka Grant (ii) Bokial (iii) Rajabari (iv) 1 No Rong Bong (v) Letekujan.</t>
  </si>
  <si>
    <t>Providing LPG connection facilities to 120 Nos. of householders of (a) Gandhigaon, (b) 4 No. Rongbong Koibarta Gaon and (c) Chawrabasti to convert the villages as Smokeless village.</t>
  </si>
  <si>
    <t>Rs. In Lakh</t>
  </si>
  <si>
    <t>Sector in which the Project is covered./Revelant section of schedule VII in which the project is covered(Note)</t>
  </si>
  <si>
    <t>Name of CSR activities undertaken</t>
  </si>
  <si>
    <t>Total amount spent on Sector</t>
  </si>
  <si>
    <t>Organizing awareness Campaigns in schools to promote Cleanliness and sanitation under Swachh Bharat Mission</t>
  </si>
  <si>
    <t xml:space="preserve">Installation of waste bin in nearby market areas and maintenance of the same through local market Committees </t>
  </si>
  <si>
    <t>Assistance provided for treatment of critical ailment to persons from economically weaker section of the society including subsidy for treatment at VKNRL Hospital to nearby patients.</t>
  </si>
  <si>
    <t>Awareness camps for critical ailments like AIDS, Cancer , Legal Awareness etc.</t>
  </si>
  <si>
    <t>Providing amenities to nearby schools for better educational environment</t>
  </si>
  <si>
    <t>Construction of new school infrastructures adjacent to the Refinery</t>
  </si>
  <si>
    <t>Providing support for setting up coaching centres in 5 schools etc for additional educational support as well as career guidance</t>
  </si>
  <si>
    <t xml:space="preserve">100% Literacy drive through 10 centres operating in neighbourhood of  Refinery </t>
  </si>
  <si>
    <t>Financial support to VK Rock Memorial &amp; Vivekananda Kendra for setting up a Girls school at Khatkhati in Karbi Anglong, Assam</t>
  </si>
  <si>
    <t xml:space="preserve"> Training to 50 nos. of Contract Workers of Refinery for upgradation of their skills</t>
  </si>
  <si>
    <t>Setting up of  VKNRL School of Nursing at Ponka Grant ,Numaligarh, Assam</t>
  </si>
  <si>
    <t>Financial support to Asam Sahitya Sabha for preservation and promotion of literary and cultural works of Assam</t>
  </si>
  <si>
    <t xml:space="preserve">Promotion of Livelihood  of Women SHG through cultivation of edible mushroom </t>
  </si>
  <si>
    <t>Consultancy service for design &amp; estimation of infrastructure related projects under CSR</t>
  </si>
  <si>
    <r>
      <t>Details of Expenditure</t>
    </r>
    <r>
      <rPr>
        <b/>
        <sz val="11"/>
        <color rgb="FFFF0000"/>
        <rFont val="Calibri"/>
        <family val="2"/>
        <scheme val="minor"/>
      </rPr>
      <t xml:space="preserve"> </t>
    </r>
    <r>
      <rPr>
        <b/>
        <sz val="11"/>
        <color theme="1"/>
        <rFont val="Calibri"/>
        <family val="2"/>
        <scheme val="minor"/>
      </rPr>
      <t>incurred under various CSR acativities during 2017-18 as on 30th Jun,2017</t>
    </r>
  </si>
  <si>
    <t xml:space="preserve">Amount spent on CSR activities from April to June,2017 </t>
  </si>
  <si>
    <t xml:space="preserve">Supply of Bicycle to the nearby School students </t>
  </si>
  <si>
    <t>Financial support for organizing a programme to felicitate and honour the rank holders of HSLC, High Madrasa &amp; HSSLC examination</t>
  </si>
  <si>
    <t>Financial support for renovation of Public Library</t>
  </si>
  <si>
    <t>Promotion of Education by providing  scholarship to the students under various  schemes like  "Gyandeep", "Prerona" "Dronacharya" and other scholarship schemes</t>
  </si>
  <si>
    <t>Project "Swanirbhar" -Promoting entrepreneurs for setting up various  livelihood avenues</t>
  </si>
  <si>
    <t>Setting up  and Renovation of libraries under project "Library for all".</t>
  </si>
  <si>
    <t>Development of rural infrastructure like construction of 1200mm dia HP Culvert at 5No Roang Bong Bhuyan Basti &amp; main entrance gate at Bishnupur Kaborstan in nearby area.</t>
  </si>
  <si>
    <t>Name of implementing Agency (NGO/Trust/Society/State/Govt./directly by CPSE)</t>
  </si>
  <si>
    <t>Financial Assistance to 3 individual for reparing their houses damaged from natural calamity</t>
  </si>
  <si>
    <t>Baseline study for Developing Action Plan for Livelihood Generation and Community based rehabilitation program for surrounding area of NRL (5KM)</t>
  </si>
  <si>
    <t>Plantation of 2500 Nos. of fruits bearing trees in 25 nearby schools and  Barchapori Gaon by providing tree seedling cost to 145 numbers of households as a part of Green initiative.</t>
  </si>
  <si>
    <t>Construction of GI Chain Link Fencing near western boundary of Refinery for plantation drive in the Green belt area near NRMT</t>
  </si>
  <si>
    <t xml:space="preserve">Project on ‘Building Village for Building Nation’ to upgrade better life through livelihood, education, sanitation, etc for weaker sections of people for 5 nos. of nearby villages adjacent to Refinery </t>
  </si>
  <si>
    <t>Financial Support to budding players in order to undergo advance training</t>
  </si>
  <si>
    <t>Financial support to Nagaon District Karate-Do Association, Nagaon for conducting a 6 days long international level training program under " Khel Prashikshan"</t>
  </si>
  <si>
    <t>Providing assistance to farmers  of nearby localities for traditional &amp; alternate farming by way of providing fertilizers, seeds, tractorization &amp; livelihood generation support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</si>
</sst>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_(* #,##0.00_);_(* \(#,##0.00\);_(* &quot;-&quot;??_);_(@_)"/>
    <numFmt numFmtId="166" formatCode="0.0"/>
  </numFmts>
  <fonts count="40" x14ac:knownFonts="1">
    <font>
      <sz val="11"/>
      <color theme="1"/>
      <name val="Calibri"/>
      <family val="2"/>
      <scheme val="minor"/>
    </font>
    <font>
      <sz val="11"/>
      <color rgb="FFFF0000"/>
      <name val="Calibri"/>
      <family val="2"/>
      <scheme val="minor"/>
    </font>
    <font>
      <b/>
      <sz val="11"/>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sz val="10"/>
      <name val="Arial"/>
      <family val="2"/>
    </font>
    <font>
      <b/>
      <sz val="10"/>
      <name val="Calibri"/>
      <family val="2"/>
      <scheme val="minor"/>
    </font>
    <font>
      <b/>
      <sz val="10"/>
      <color theme="1"/>
      <name val="Calibri"/>
      <family val="2"/>
      <scheme val="minor"/>
    </font>
    <font>
      <sz val="10"/>
      <name val="Calibri"/>
      <family val="2"/>
      <scheme val="minor"/>
    </font>
    <font>
      <sz val="11"/>
      <color rgb="FFFF0000"/>
      <name val="Calibri"/>
      <family val="2"/>
    </font>
    <font>
      <sz val="11"/>
      <color rgb="FF000000"/>
      <name val="Calibri"/>
      <family val="2"/>
    </font>
    <font>
      <sz val="11"/>
      <name val="Calibri"/>
      <family val="2"/>
    </font>
    <font>
      <sz val="11"/>
      <name val="Calibri"/>
      <family val="2"/>
      <scheme val="minor"/>
    </font>
    <font>
      <sz val="10"/>
      <color rgb="FFFF0000"/>
      <name val="Calibri"/>
      <family val="2"/>
      <scheme val="minor"/>
    </font>
    <font>
      <sz val="11"/>
      <color rgb="FF000000"/>
      <name val="Calibri"/>
      <family val="2"/>
      <scheme val="minor"/>
    </font>
    <font>
      <b/>
      <sz val="10"/>
      <color rgb="FFFF0000"/>
      <name val="Calibri"/>
      <family val="2"/>
      <scheme val="minor"/>
    </font>
    <font>
      <sz val="11"/>
      <color rgb="FF333333"/>
      <name val="Calibri"/>
      <family val="2"/>
      <scheme val="minor"/>
    </font>
    <font>
      <b/>
      <sz val="9"/>
      <color indexed="81"/>
      <name val="Tahoma"/>
      <family val="2"/>
    </font>
    <font>
      <sz val="9"/>
      <color indexed="81"/>
      <name val="Tahoma"/>
      <family val="2"/>
    </font>
    <font>
      <sz val="11"/>
      <color theme="1"/>
      <name val="Cambria"/>
      <family val="1"/>
      <scheme val="major"/>
    </font>
    <font>
      <sz val="11"/>
      <color theme="1"/>
      <name val="Calibri"/>
      <family val="2"/>
    </font>
    <font>
      <sz val="10"/>
      <color rgb="FFDC14BF"/>
      <name val="Calibri"/>
      <family val="2"/>
      <scheme val="minor"/>
    </font>
    <font>
      <sz val="11"/>
      <color rgb="FFDC14BF"/>
      <name val="Calibri"/>
      <family val="2"/>
      <scheme val="minor"/>
    </font>
    <font>
      <sz val="11"/>
      <color rgb="FF00B050"/>
      <name val="Calibri"/>
      <family val="2"/>
      <scheme val="minor"/>
    </font>
    <font>
      <sz val="12"/>
      <color rgb="FF000000"/>
      <name val="Calibri"/>
      <family val="2"/>
    </font>
    <font>
      <sz val="10"/>
      <name val="Cambria"/>
      <family val="1"/>
      <scheme val="major"/>
    </font>
    <font>
      <sz val="11"/>
      <color theme="1"/>
      <name val="Calibri"/>
      <family val="2"/>
      <scheme val="minor"/>
    </font>
    <font>
      <sz val="9"/>
      <name val="Cambria"/>
      <family val="1"/>
      <scheme val="major"/>
    </font>
    <font>
      <sz val="10"/>
      <color theme="1"/>
      <name val="Cambria"/>
      <family val="1"/>
      <scheme val="major"/>
    </font>
    <font>
      <sz val="12"/>
      <color theme="1"/>
      <name val="Calibri"/>
      <family val="2"/>
      <scheme val="minor"/>
    </font>
    <font>
      <b/>
      <sz val="14"/>
      <color rgb="FF333333"/>
      <name val="Calibri"/>
      <family val="2"/>
      <scheme val="minor"/>
    </font>
    <font>
      <b/>
      <sz val="14"/>
      <color rgb="FFFFFFFF"/>
      <name val="Calibri"/>
      <family val="2"/>
      <scheme val="minor"/>
    </font>
    <font>
      <sz val="12"/>
      <color rgb="FFFF0000"/>
      <name val="Calibri"/>
      <family val="2"/>
    </font>
    <font>
      <b/>
      <sz val="10"/>
      <color rgb="FF7030A0"/>
      <name val="Calibri"/>
      <family val="2"/>
      <scheme val="minor"/>
    </font>
    <font>
      <sz val="9"/>
      <color theme="1"/>
      <name val="Cambria"/>
      <family val="1"/>
      <scheme val="major"/>
    </font>
    <font>
      <sz val="9"/>
      <color rgb="FFFF0000"/>
      <name val="Cambria"/>
      <family val="1"/>
      <scheme val="major"/>
    </font>
    <font>
      <sz val="10"/>
      <name val="Arial"/>
      <family val="2"/>
    </font>
    <font>
      <b/>
      <sz val="11"/>
      <color rgb="FFFF0000"/>
      <name val="Calibri"/>
      <family val="2"/>
      <scheme val="minor"/>
    </font>
    <font>
      <b/>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9999FF"/>
        <bgColor indexed="64"/>
      </patternFill>
    </fill>
    <fill>
      <patternFill patternType="solid">
        <fgColor rgb="FF0070C0"/>
        <bgColor indexed="64"/>
      </patternFill>
    </fill>
    <fill>
      <patternFill patternType="solid">
        <fgColor rgb="FFFF000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E2DED6"/>
        <bgColor indexed="64"/>
      </patternFill>
    </fill>
    <fill>
      <patternFill patternType="solid">
        <fgColor rgb="FF006699"/>
        <bgColor indexed="64"/>
      </patternFill>
    </fill>
    <fill>
      <patternFill patternType="solid">
        <fgColor rgb="FFFFFF99"/>
        <bgColor indexed="64"/>
      </patternFill>
    </fill>
    <fill>
      <patternFill patternType="solid">
        <fgColor rgb="FF92D050"/>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6" fillId="0" borderId="0"/>
    <xf numFmtId="0" fontId="6" fillId="0" borderId="0"/>
    <xf numFmtId="0" fontId="6" fillId="0" borderId="0"/>
    <xf numFmtId="165" fontId="27" fillId="0" borderId="0" applyFont="0" applyFill="0" applyBorder="0" applyAlignment="0" applyProtection="0"/>
    <xf numFmtId="0" fontId="37" fillId="0" borderId="0"/>
  </cellStyleXfs>
  <cellXfs count="485">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2" fontId="3" fillId="0" borderId="0" xfId="0" applyNumberFormat="1" applyFont="1" applyAlignment="1">
      <alignment horizontal="right" vertical="center" wrapText="1"/>
    </xf>
    <xf numFmtId="2" fontId="3" fillId="0" borderId="0" xfId="0" applyNumberFormat="1" applyFont="1" applyFill="1" applyAlignment="1">
      <alignment horizontal="right" vertical="center" wrapText="1"/>
    </xf>
    <xf numFmtId="0" fontId="5"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7" fillId="0" borderId="1" xfId="1" applyFont="1" applyBorder="1" applyAlignment="1">
      <alignment horizontal="center" vertical="center" wrapText="1"/>
    </xf>
    <xf numFmtId="0" fontId="7" fillId="0" borderId="1" xfId="1" applyFont="1" applyBorder="1" applyAlignment="1">
      <alignment horizontal="left" vertical="center" wrapText="1"/>
    </xf>
    <xf numFmtId="0" fontId="8" fillId="0" borderId="1" xfId="0" applyFont="1" applyBorder="1" applyAlignment="1">
      <alignment horizontal="left" vertical="center" wrapText="1"/>
    </xf>
    <xf numFmtId="0" fontId="7" fillId="2" borderId="1" xfId="1" applyFont="1" applyFill="1" applyBorder="1" applyAlignment="1">
      <alignment horizontal="right" vertical="center" wrapText="1"/>
    </xf>
    <xf numFmtId="2" fontId="7" fillId="0" borderId="1" xfId="1" applyNumberFormat="1" applyFont="1" applyBorder="1" applyAlignment="1">
      <alignment horizontal="right" vertical="center" wrapText="1"/>
    </xf>
    <xf numFmtId="2" fontId="7" fillId="0" borderId="1" xfId="1" applyNumberFormat="1" applyFont="1" applyFill="1" applyBorder="1" applyAlignment="1">
      <alignment horizontal="right" vertical="center" wrapText="1"/>
    </xf>
    <xf numFmtId="0" fontId="7" fillId="0" borderId="2" xfId="1" applyFont="1" applyBorder="1" applyAlignment="1">
      <alignment horizontal="center" vertical="center" wrapText="1"/>
    </xf>
    <xf numFmtId="0" fontId="6" fillId="0" borderId="1" xfId="0" applyFont="1" applyBorder="1" applyAlignment="1">
      <alignment horizontal="left" vertical="center" wrapText="1"/>
    </xf>
    <xf numFmtId="2" fontId="5" fillId="0" borderId="0" xfId="0" applyNumberFormat="1" applyFont="1" applyAlignment="1">
      <alignment vertical="center" wrapText="1"/>
    </xf>
    <xf numFmtId="2" fontId="7" fillId="4" borderId="1" xfId="1" applyNumberFormat="1" applyFont="1" applyFill="1" applyBorder="1" applyAlignment="1">
      <alignment horizontal="right" vertical="center" wrapText="1"/>
    </xf>
    <xf numFmtId="0" fontId="10" fillId="0" borderId="1" xfId="0" applyFont="1" applyBorder="1" applyAlignment="1">
      <alignment horizontal="left" vertical="center" wrapText="1"/>
    </xf>
    <xf numFmtId="0" fontId="0" fillId="0" borderId="1" xfId="0" applyFont="1" applyBorder="1" applyAlignment="1">
      <alignment horizontal="left" vertical="center"/>
    </xf>
    <xf numFmtId="0" fontId="11" fillId="0" borderId="1" xfId="0" applyFont="1" applyBorder="1" applyAlignment="1">
      <alignment horizontal="left" vertical="center" wrapText="1"/>
    </xf>
    <xf numFmtId="0" fontId="0" fillId="0" borderId="1" xfId="0" applyFont="1" applyBorder="1" applyAlignment="1">
      <alignment horizontal="right" vertical="center"/>
    </xf>
    <xf numFmtId="2" fontId="0" fillId="0" borderId="1" xfId="0" applyNumberFormat="1" applyFont="1" applyBorder="1" applyAlignment="1">
      <alignment horizontal="right" vertical="center" wrapText="1"/>
    </xf>
    <xf numFmtId="2" fontId="0" fillId="0" borderId="1" xfId="0" applyNumberFormat="1" applyFont="1" applyFill="1" applyBorder="1" applyAlignment="1">
      <alignment horizontal="right" vertical="center" wrapText="1"/>
    </xf>
    <xf numFmtId="0" fontId="0" fillId="0" borderId="1" xfId="0" applyFont="1" applyBorder="1" applyAlignment="1">
      <alignment horizontal="right" vertical="center" wrapText="1"/>
    </xf>
    <xf numFmtId="0" fontId="0" fillId="4" borderId="1" xfId="0" applyFont="1" applyFill="1" applyBorder="1" applyAlignment="1">
      <alignment horizontal="right" vertical="center" wrapText="1"/>
    </xf>
    <xf numFmtId="0" fontId="0" fillId="0" borderId="1" xfId="0" applyFont="1" applyFill="1" applyBorder="1" applyAlignment="1">
      <alignment horizontal="right" vertical="center"/>
    </xf>
    <xf numFmtId="0" fontId="5" fillId="0" borderId="0" xfId="0" applyFont="1" applyAlignment="1">
      <alignment horizontal="justify"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4" borderId="1" xfId="0" applyFont="1" applyFill="1" applyBorder="1" applyAlignment="1">
      <alignment horizontal="right" vertical="center"/>
    </xf>
    <xf numFmtId="0" fontId="0"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0" fillId="0" borderId="1" xfId="0" applyBorder="1" applyAlignment="1">
      <alignment horizontal="right" vertical="center" wrapText="1"/>
    </xf>
    <xf numFmtId="2" fontId="0" fillId="2" borderId="1" xfId="0" applyNumberFormat="1" applyFont="1" applyFill="1" applyBorder="1" applyAlignment="1">
      <alignment horizontal="right" vertical="center" wrapText="1"/>
    </xf>
    <xf numFmtId="2" fontId="5" fillId="0" borderId="0" xfId="0" applyNumberFormat="1" applyFont="1" applyAlignment="1">
      <alignment horizontal="justify" vertical="center" wrapText="1"/>
    </xf>
    <xf numFmtId="0" fontId="0" fillId="0" borderId="1" xfId="0" applyBorder="1" applyAlignment="1">
      <alignment horizontal="right" vertical="center"/>
    </xf>
    <xf numFmtId="0" fontId="0" fillId="0" borderId="1" xfId="0" applyFont="1" applyFill="1" applyBorder="1" applyAlignment="1">
      <alignment horizontal="left" vertical="center"/>
    </xf>
    <xf numFmtId="0" fontId="0" fillId="0" borderId="1" xfId="0" applyBorder="1" applyAlignment="1">
      <alignment vertical="center" wrapText="1"/>
    </xf>
    <xf numFmtId="0" fontId="11" fillId="0" borderId="1" xfId="0" applyFont="1" applyBorder="1" applyAlignment="1">
      <alignment vertical="top" wrapText="1"/>
    </xf>
    <xf numFmtId="0" fontId="0" fillId="0" borderId="1" xfId="0" applyFill="1" applyBorder="1" applyAlignment="1">
      <alignment horizontal="right" vertical="center"/>
    </xf>
    <xf numFmtId="0" fontId="0" fillId="4" borderId="1" xfId="0" applyFill="1" applyBorder="1" applyAlignment="1">
      <alignment horizontal="right" vertical="center"/>
    </xf>
    <xf numFmtId="0" fontId="1" fillId="0" borderId="1" xfId="0" applyFont="1" applyBorder="1" applyAlignment="1">
      <alignment horizontal="right" vertical="center" wrapText="1"/>
    </xf>
    <xf numFmtId="0" fontId="13" fillId="4" borderId="1" xfId="0" applyFont="1" applyFill="1" applyBorder="1" applyAlignment="1">
      <alignment horizontal="right" vertical="center" wrapText="1"/>
    </xf>
    <xf numFmtId="0" fontId="14" fillId="0" borderId="0" xfId="0" applyFont="1" applyAlignment="1">
      <alignment vertical="center" wrapText="1"/>
    </xf>
    <xf numFmtId="0" fontId="13" fillId="0" borderId="1" xfId="0" applyFont="1" applyFill="1" applyBorder="1" applyAlignment="1">
      <alignment horizontal="left" vertical="center" wrapText="1"/>
    </xf>
    <xf numFmtId="0" fontId="5" fillId="0" borderId="0" xfId="0" applyFont="1" applyFill="1" applyAlignment="1">
      <alignment vertical="center" wrapText="1"/>
    </xf>
    <xf numFmtId="2" fontId="1" fillId="0" borderId="1" xfId="0" applyNumberFormat="1" applyFont="1" applyBorder="1" applyAlignment="1">
      <alignment horizontal="right" vertical="center" wrapText="1"/>
    </xf>
    <xf numFmtId="0" fontId="14" fillId="0" borderId="0" xfId="0" applyFont="1" applyFill="1" applyAlignment="1">
      <alignment vertical="center" wrapText="1"/>
    </xf>
    <xf numFmtId="0" fontId="13" fillId="0" borderId="1" xfId="2" applyFont="1" applyFill="1" applyBorder="1" applyAlignment="1">
      <alignment horizontal="left" vertical="center" wrapText="1"/>
    </xf>
    <xf numFmtId="0" fontId="5" fillId="0" borderId="1" xfId="0" applyFont="1" applyBorder="1" applyAlignment="1">
      <alignment vertical="center" wrapText="1"/>
    </xf>
    <xf numFmtId="0" fontId="1" fillId="0" borderId="1" xfId="0" applyFont="1" applyFill="1" applyBorder="1" applyAlignment="1">
      <alignment horizontal="right" vertical="center"/>
    </xf>
    <xf numFmtId="0" fontId="13" fillId="4" borderId="1" xfId="0" applyFont="1" applyFill="1" applyBorder="1" applyAlignment="1">
      <alignment horizontal="right" vertical="center"/>
    </xf>
    <xf numFmtId="0" fontId="0" fillId="0" borderId="1" xfId="0" applyFont="1" applyFill="1" applyBorder="1" applyAlignment="1">
      <alignment horizontal="left" vertical="center" wrapText="1"/>
    </xf>
    <xf numFmtId="0" fontId="0" fillId="3" borderId="1" xfId="0" applyFont="1" applyFill="1" applyBorder="1" applyAlignment="1">
      <alignment horizontal="right" vertical="center"/>
    </xf>
    <xf numFmtId="0" fontId="5" fillId="2" borderId="0" xfId="0" applyFont="1" applyFill="1" applyAlignment="1">
      <alignment vertical="center" wrapText="1"/>
    </xf>
    <xf numFmtId="0" fontId="14" fillId="0" borderId="1" xfId="0" applyFont="1" applyFill="1" applyBorder="1" applyAlignment="1">
      <alignment vertical="center" wrapText="1"/>
    </xf>
    <xf numFmtId="0" fontId="0" fillId="0" borderId="1" xfId="0" applyFill="1" applyBorder="1" applyAlignment="1">
      <alignment horizontal="right" vertical="top"/>
    </xf>
    <xf numFmtId="0" fontId="15"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0" xfId="0" applyFont="1" applyAlignment="1">
      <alignment vertical="center" wrapText="1"/>
    </xf>
    <xf numFmtId="0" fontId="16" fillId="0" borderId="0" xfId="0" applyFont="1" applyAlignment="1">
      <alignment vertical="center" wrapText="1"/>
    </xf>
    <xf numFmtId="0" fontId="17" fillId="0" borderId="1" xfId="0" applyFont="1" applyBorder="1"/>
    <xf numFmtId="0" fontId="0" fillId="0" borderId="1" xfId="0" applyBorder="1" applyAlignment="1">
      <alignment wrapText="1"/>
    </xf>
    <xf numFmtId="0" fontId="8" fillId="0" borderId="0" xfId="0" applyFont="1" applyFill="1" applyAlignment="1">
      <alignment vertical="center" wrapText="1"/>
    </xf>
    <xf numFmtId="0" fontId="0" fillId="0" borderId="1" xfId="0" applyFill="1" applyBorder="1" applyAlignment="1">
      <alignment wrapText="1"/>
    </xf>
    <xf numFmtId="1" fontId="0" fillId="0" borderId="1" xfId="0" applyNumberFormat="1" applyFill="1" applyBorder="1" applyAlignment="1">
      <alignment wrapText="1"/>
    </xf>
    <xf numFmtId="1" fontId="0" fillId="5" borderId="1" xfId="0" applyNumberFormat="1" applyFill="1" applyBorder="1" applyAlignment="1">
      <alignment wrapText="1"/>
    </xf>
    <xf numFmtId="0" fontId="0" fillId="5" borderId="1" xfId="0" applyFill="1" applyBorder="1" applyAlignment="1">
      <alignment horizontal="right" vertical="center"/>
    </xf>
    <xf numFmtId="0" fontId="0" fillId="5" borderId="1" xfId="0" applyFont="1" applyFill="1" applyBorder="1" applyAlignment="1">
      <alignment horizontal="right" vertical="center"/>
    </xf>
    <xf numFmtId="0" fontId="0" fillId="0" borderId="1" xfId="0" applyBorder="1"/>
    <xf numFmtId="1" fontId="0" fillId="0" borderId="1" xfId="0" applyNumberFormat="1" applyBorder="1" applyAlignment="1">
      <alignment wrapText="1"/>
    </xf>
    <xf numFmtId="0" fontId="0" fillId="4" borderId="1" xfId="0" applyFill="1" applyBorder="1" applyAlignment="1">
      <alignment horizontal="right" vertical="top"/>
    </xf>
    <xf numFmtId="0" fontId="0" fillId="0" borderId="1" xfId="0" applyBorder="1" applyAlignment="1">
      <alignment horizontal="left" vertical="top" wrapText="1"/>
    </xf>
    <xf numFmtId="0" fontId="9" fillId="0" borderId="1" xfId="0" applyFont="1" applyFill="1" applyBorder="1" applyAlignment="1">
      <alignment vertical="center" wrapText="1"/>
    </xf>
    <xf numFmtId="0" fontId="9" fillId="4" borderId="1" xfId="0" applyFont="1" applyFill="1" applyBorder="1" applyAlignment="1">
      <alignment vertical="center" wrapText="1"/>
    </xf>
    <xf numFmtId="0" fontId="0" fillId="0" borderId="1" xfId="0" applyFill="1" applyBorder="1" applyAlignment="1">
      <alignment vertical="top" wrapText="1"/>
    </xf>
    <xf numFmtId="0" fontId="5" fillId="0" borderId="1" xfId="0" applyFont="1" applyFill="1" applyBorder="1" applyAlignment="1">
      <alignment vertical="center" wrapText="1"/>
    </xf>
    <xf numFmtId="0" fontId="0" fillId="0" borderId="1" xfId="0" applyFill="1" applyBorder="1" applyAlignment="1">
      <alignment horizontal="left" vertical="top" wrapText="1"/>
    </xf>
    <xf numFmtId="0" fontId="5" fillId="5" borderId="1" xfId="0" applyFont="1" applyFill="1" applyBorder="1" applyAlignment="1">
      <alignment vertical="center" wrapText="1"/>
    </xf>
    <xf numFmtId="0" fontId="0" fillId="0" borderId="1" xfId="0" applyFill="1" applyBorder="1" applyAlignment="1">
      <alignment horizontal="left" vertical="top"/>
    </xf>
    <xf numFmtId="0" fontId="0" fillId="0" borderId="1" xfId="0" applyNumberFormat="1" applyFill="1" applyBorder="1" applyAlignment="1">
      <alignment horizontal="left" vertical="top" wrapText="1"/>
    </xf>
    <xf numFmtId="0" fontId="0" fillId="0" borderId="1" xfId="0" applyBorder="1" applyAlignment="1">
      <alignment horizontal="left" vertical="top"/>
    </xf>
    <xf numFmtId="0" fontId="5" fillId="0" borderId="1" xfId="0" applyFont="1" applyBorder="1" applyAlignment="1">
      <alignment horizontal="left" vertical="center" wrapText="1"/>
    </xf>
    <xf numFmtId="3" fontId="9" fillId="0" borderId="1" xfId="0" applyNumberFormat="1" applyFont="1" applyFill="1" applyBorder="1" applyAlignment="1">
      <alignment vertical="center" wrapText="1"/>
    </xf>
    <xf numFmtId="0" fontId="8" fillId="6" borderId="0" xfId="0" applyFont="1" applyFill="1" applyAlignment="1">
      <alignment vertical="center" wrapText="1"/>
    </xf>
    <xf numFmtId="0" fontId="0" fillId="0" borderId="1" xfId="0" applyBorder="1" applyAlignment="1">
      <alignment horizontal="left" vertical="center"/>
    </xf>
    <xf numFmtId="2" fontId="5" fillId="0" borderId="0" xfId="0" applyNumberFormat="1" applyFont="1" applyAlignment="1">
      <alignment horizontal="right" vertical="center" wrapText="1"/>
    </xf>
    <xf numFmtId="2" fontId="5" fillId="0" borderId="0" xfId="0" applyNumberFormat="1" applyFont="1" applyFill="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0" fillId="5" borderId="5" xfId="0" applyFill="1" applyBorder="1"/>
    <xf numFmtId="2" fontId="0" fillId="0" borderId="0" xfId="0" applyNumberFormat="1"/>
    <xf numFmtId="0" fontId="5"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7" fillId="0" borderId="1" xfId="0" applyFont="1" applyFill="1" applyBorder="1"/>
    <xf numFmtId="0" fontId="5" fillId="0" borderId="1" xfId="0" applyFont="1" applyFill="1" applyBorder="1" applyAlignment="1">
      <alignment vertical="top" wrapText="1"/>
    </xf>
    <xf numFmtId="2" fontId="5" fillId="0" borderId="1" xfId="0" applyNumberFormat="1" applyFont="1" applyBorder="1" applyAlignment="1">
      <alignment vertical="center" wrapText="1"/>
    </xf>
    <xf numFmtId="0" fontId="0" fillId="0" borderId="3" xfId="0" applyFill="1" applyBorder="1" applyAlignment="1">
      <alignment horizontal="right" vertical="top"/>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vertical="center" wrapText="1"/>
    </xf>
    <xf numFmtId="0" fontId="0" fillId="0" borderId="0" xfId="0" applyFont="1" applyFill="1" applyAlignment="1">
      <alignment horizontal="right" vertical="center"/>
    </xf>
    <xf numFmtId="2" fontId="5" fillId="0" borderId="1" xfId="0" applyNumberFormat="1" applyFont="1" applyFill="1" applyBorder="1" applyAlignment="1">
      <alignment horizontal="right" vertical="center" wrapText="1"/>
    </xf>
    <xf numFmtId="0" fontId="9" fillId="0" borderId="1" xfId="0" applyFont="1" applyFill="1" applyBorder="1" applyAlignment="1">
      <alignment horizontal="justify" vertical="center" wrapText="1"/>
    </xf>
    <xf numFmtId="0" fontId="0" fillId="7" borderId="1" xfId="0" applyFill="1" applyBorder="1" applyAlignment="1">
      <alignment horizontal="left" vertical="top"/>
    </xf>
    <xf numFmtId="0" fontId="15" fillId="7" borderId="1" xfId="0" applyFont="1" applyFill="1" applyBorder="1" applyAlignment="1">
      <alignment vertical="top" wrapText="1"/>
    </xf>
    <xf numFmtId="0" fontId="0" fillId="7" borderId="1" xfId="0" applyFill="1" applyBorder="1" applyAlignment="1">
      <alignment horizontal="right" vertical="top"/>
    </xf>
    <xf numFmtId="0" fontId="0" fillId="7" borderId="1" xfId="0" applyFill="1" applyBorder="1" applyAlignment="1">
      <alignment vertical="top" wrapText="1"/>
    </xf>
    <xf numFmtId="0" fontId="5" fillId="7" borderId="1" xfId="0" applyFont="1" applyFill="1" applyBorder="1" applyAlignment="1">
      <alignment vertical="top" wrapText="1"/>
    </xf>
    <xf numFmtId="0" fontId="0" fillId="7" borderId="1" xfId="0" applyFill="1" applyBorder="1" applyAlignment="1">
      <alignment wrapText="1"/>
    </xf>
    <xf numFmtId="0" fontId="0" fillId="7" borderId="1" xfId="0" applyFill="1" applyBorder="1" applyAlignment="1">
      <alignment horizontal="right" vertical="center"/>
    </xf>
    <xf numFmtId="1" fontId="0" fillId="7" borderId="1" xfId="0" applyNumberFormat="1" applyFill="1" applyBorder="1" applyAlignment="1">
      <alignment wrapText="1"/>
    </xf>
    <xf numFmtId="0" fontId="0" fillId="7" borderId="1" xfId="0" applyFont="1" applyFill="1" applyBorder="1" applyAlignment="1">
      <alignment horizontal="right" vertical="center"/>
    </xf>
    <xf numFmtId="0" fontId="0" fillId="7" borderId="1" xfId="0" applyFill="1" applyBorder="1" applyAlignment="1">
      <alignment vertical="center" wrapText="1"/>
    </xf>
    <xf numFmtId="0" fontId="0" fillId="7" borderId="1" xfId="0" applyFont="1" applyFill="1" applyBorder="1" applyAlignment="1">
      <alignment horizontal="right" vertical="center" wrapText="1"/>
    </xf>
    <xf numFmtId="0" fontId="8" fillId="7" borderId="0" xfId="0" applyFont="1" applyFill="1" applyAlignment="1">
      <alignment vertical="center" wrapText="1"/>
    </xf>
    <xf numFmtId="0" fontId="3" fillId="3" borderId="0" xfId="0" applyFont="1" applyFill="1" applyAlignment="1">
      <alignment horizontal="left" vertical="center"/>
    </xf>
    <xf numFmtId="0" fontId="7" fillId="0" borderId="1" xfId="1" applyFont="1" applyBorder="1" applyAlignment="1">
      <alignment horizontal="left" vertical="center"/>
    </xf>
    <xf numFmtId="0" fontId="5" fillId="0" borderId="1" xfId="0" applyFont="1" applyBorder="1" applyAlignment="1">
      <alignment vertical="center"/>
    </xf>
    <xf numFmtId="0" fontId="11" fillId="0" borderId="1" xfId="0" applyFont="1" applyBorder="1" applyAlignment="1">
      <alignment horizontal="left" vertical="center"/>
    </xf>
    <xf numFmtId="0" fontId="12" fillId="0" borderId="1" xfId="0" applyFont="1" applyFill="1" applyBorder="1" applyAlignment="1">
      <alignment horizontal="left" vertical="center"/>
    </xf>
    <xf numFmtId="0" fontId="11" fillId="0" borderId="1" xfId="0" applyFont="1" applyBorder="1" applyAlignment="1">
      <alignment vertical="top"/>
    </xf>
    <xf numFmtId="0" fontId="13"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vertical="center"/>
    </xf>
    <xf numFmtId="0" fontId="14" fillId="7" borderId="1" xfId="0" applyFont="1" applyFill="1" applyBorder="1" applyAlignment="1">
      <alignment vertical="center"/>
    </xf>
    <xf numFmtId="0" fontId="15" fillId="0" borderId="1" xfId="0" applyFont="1" applyFill="1" applyBorder="1" applyAlignment="1">
      <alignment horizontal="left" vertical="center"/>
    </xf>
    <xf numFmtId="0" fontId="8" fillId="7" borderId="1" xfId="0" applyFont="1" applyFill="1" applyBorder="1" applyAlignment="1">
      <alignment vertical="center"/>
    </xf>
    <xf numFmtId="0" fontId="0" fillId="0" borderId="1" xfId="0" applyBorder="1" applyAlignment="1">
      <alignment vertical="center"/>
    </xf>
    <xf numFmtId="0" fontId="5" fillId="0" borderId="1" xfId="0" applyFont="1" applyFill="1" applyBorder="1" applyAlignment="1">
      <alignment vertical="center"/>
    </xf>
    <xf numFmtId="0" fontId="8" fillId="0" borderId="1" xfId="0" applyFont="1" applyFill="1" applyBorder="1" applyAlignment="1">
      <alignment vertical="center"/>
    </xf>
    <xf numFmtId="0" fontId="14" fillId="0" borderId="1" xfId="0" applyFont="1" applyFill="1" applyBorder="1" applyAlignment="1">
      <alignment vertical="center"/>
    </xf>
    <xf numFmtId="0" fontId="9" fillId="0" borderId="1" xfId="0" applyFont="1" applyFill="1" applyBorder="1" applyAlignment="1">
      <alignment vertical="center"/>
    </xf>
    <xf numFmtId="0" fontId="0" fillId="7" borderId="1" xfId="0" applyFill="1" applyBorder="1" applyAlignment="1">
      <alignment vertical="center"/>
    </xf>
    <xf numFmtId="0" fontId="5" fillId="0" borderId="0" xfId="0" applyFont="1" applyAlignment="1">
      <alignment horizontal="left" vertical="center"/>
    </xf>
    <xf numFmtId="0" fontId="0" fillId="0" borderId="1" xfId="0" applyFill="1" applyBorder="1" applyAlignment="1"/>
    <xf numFmtId="0" fontId="0" fillId="7" borderId="1" xfId="0" applyFill="1" applyBorder="1" applyAlignment="1"/>
    <xf numFmtId="0" fontId="0" fillId="7" borderId="1" xfId="0" applyFill="1" applyBorder="1" applyAlignment="1">
      <alignment horizontal="left" vertical="top" wrapText="1"/>
    </xf>
    <xf numFmtId="0" fontId="5" fillId="7" borderId="1" xfId="0" applyFont="1" applyFill="1" applyBorder="1" applyAlignment="1">
      <alignment vertical="center" wrapText="1"/>
    </xf>
    <xf numFmtId="2" fontId="5" fillId="7" borderId="0" xfId="0" applyNumberFormat="1" applyFont="1" applyFill="1" applyAlignment="1">
      <alignment vertical="center" wrapText="1"/>
    </xf>
    <xf numFmtId="0" fontId="9" fillId="7" borderId="1" xfId="0" applyFont="1" applyFill="1" applyBorder="1" applyAlignment="1">
      <alignment vertical="center" wrapText="1"/>
    </xf>
    <xf numFmtId="0" fontId="9" fillId="7" borderId="1" xfId="0" applyFont="1" applyFill="1" applyBorder="1" applyAlignment="1">
      <alignment vertical="center"/>
    </xf>
    <xf numFmtId="2" fontId="7" fillId="5" borderId="1" xfId="1" applyNumberFormat="1" applyFont="1" applyFill="1" applyBorder="1" applyAlignment="1">
      <alignment horizontal="right" vertical="center" wrapText="1"/>
    </xf>
    <xf numFmtId="2" fontId="5" fillId="0" borderId="0" xfId="0" applyNumberFormat="1" applyFont="1" applyFill="1" applyAlignment="1">
      <alignment vertical="center" wrapText="1"/>
    </xf>
    <xf numFmtId="2" fontId="7" fillId="0" borderId="1" xfId="1" applyNumberFormat="1" applyFont="1" applyFill="1" applyBorder="1" applyAlignment="1">
      <alignment horizontal="right" vertical="center"/>
    </xf>
    <xf numFmtId="2" fontId="5" fillId="7" borderId="1" xfId="0" applyNumberFormat="1" applyFont="1" applyFill="1" applyBorder="1" applyAlignment="1">
      <alignment vertical="center" wrapText="1"/>
    </xf>
    <xf numFmtId="2" fontId="7" fillId="7" borderId="1" xfId="1" applyNumberFormat="1" applyFont="1" applyFill="1" applyBorder="1" applyAlignment="1">
      <alignment horizontal="right" vertical="center" wrapText="1"/>
    </xf>
    <xf numFmtId="2" fontId="5" fillId="5" borderId="1" xfId="0" applyNumberFormat="1" applyFont="1" applyFill="1" applyBorder="1" applyAlignment="1">
      <alignment vertical="center" wrapText="1"/>
    </xf>
    <xf numFmtId="0" fontId="0" fillId="0" borderId="0" xfId="0" applyAlignment="1">
      <alignment vertical="center"/>
    </xf>
    <xf numFmtId="0" fontId="0" fillId="0" borderId="0" xfId="0" applyAlignment="1">
      <alignment wrapText="1"/>
    </xf>
    <xf numFmtId="0" fontId="8" fillId="0" borderId="1" xfId="0" applyFont="1" applyBorder="1" applyAlignment="1">
      <alignment horizontal="center" vertical="center" wrapText="1"/>
    </xf>
    <xf numFmtId="0" fontId="7" fillId="2" borderId="1" xfId="1" applyFont="1" applyFill="1" applyBorder="1" applyAlignment="1">
      <alignment horizontal="center" vertical="center" wrapText="1"/>
    </xf>
    <xf numFmtId="2" fontId="7" fillId="0" borderId="1" xfId="1" applyNumberFormat="1" applyFont="1" applyBorder="1" applyAlignment="1">
      <alignment vertical="center" wrapText="1"/>
    </xf>
    <xf numFmtId="2" fontId="7" fillId="0" borderId="1" xfId="1" applyNumberFormat="1" applyFont="1" applyFill="1" applyBorder="1" applyAlignment="1">
      <alignment vertical="center" wrapText="1"/>
    </xf>
    <xf numFmtId="0" fontId="5" fillId="0" borderId="1" xfId="0" applyFont="1" applyFill="1" applyBorder="1" applyAlignment="1">
      <alignment horizontal="center" vertical="center"/>
    </xf>
    <xf numFmtId="2" fontId="5" fillId="0" borderId="1" xfId="0" applyNumberFormat="1" applyFont="1" applyFill="1" applyBorder="1" applyAlignment="1">
      <alignment horizontal="right" vertical="center"/>
    </xf>
    <xf numFmtId="2" fontId="9" fillId="0" borderId="1" xfId="0" applyNumberFormat="1" applyFont="1" applyFill="1" applyBorder="1" applyAlignment="1">
      <alignment horizontal="right" vertical="center"/>
    </xf>
    <xf numFmtId="0" fontId="5" fillId="0" borderId="1" xfId="0" applyFont="1" applyBorder="1" applyAlignment="1">
      <alignment horizontal="justify" vertical="center" wrapText="1"/>
    </xf>
    <xf numFmtId="0" fontId="5" fillId="4" borderId="1" xfId="0" applyFont="1" applyFill="1" applyBorder="1" applyAlignment="1">
      <alignment horizontal="justify" vertical="center" wrapText="1"/>
    </xf>
    <xf numFmtId="0" fontId="0" fillId="0" borderId="1" xfId="0" applyFill="1" applyBorder="1"/>
    <xf numFmtId="0" fontId="0" fillId="4" borderId="1" xfId="0" applyFill="1" applyBorder="1"/>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5" fillId="2" borderId="1" xfId="0" applyFont="1" applyFill="1" applyBorder="1" applyAlignment="1">
      <alignment vertical="center" wrapText="1"/>
    </xf>
    <xf numFmtId="2" fontId="5" fillId="4" borderId="1" xfId="0" applyNumberFormat="1" applyFont="1" applyFill="1" applyBorder="1" applyAlignment="1">
      <alignment vertical="center" wrapText="1"/>
    </xf>
    <xf numFmtId="0" fontId="21" fillId="0" borderId="1" xfId="0" applyFont="1" applyBorder="1" applyAlignment="1">
      <alignment vertical="top"/>
    </xf>
    <xf numFmtId="0" fontId="6" fillId="0" borderId="1" xfId="0" applyFont="1" applyBorder="1" applyAlignment="1">
      <alignment vertical="top" wrapText="1"/>
    </xf>
    <xf numFmtId="0" fontId="6" fillId="0" borderId="1" xfId="0" applyFont="1" applyFill="1" applyBorder="1" applyAlignment="1">
      <alignment vertical="top" wrapText="1"/>
    </xf>
    <xf numFmtId="0" fontId="0" fillId="0" borderId="1" xfId="0" applyFill="1" applyBorder="1" applyAlignment="1">
      <alignment horizontal="left" vertical="center" wrapText="1"/>
    </xf>
    <xf numFmtId="0" fontId="5" fillId="0" borderId="1" xfId="0" applyFont="1" applyFill="1" applyBorder="1" applyAlignment="1">
      <alignment horizontal="justify" vertical="center" wrapText="1"/>
    </xf>
    <xf numFmtId="2" fontId="22" fillId="0" borderId="1" xfId="0" applyNumberFormat="1" applyFont="1" applyFill="1" applyBorder="1" applyAlignment="1">
      <alignment horizontal="right" vertical="center" wrapText="1"/>
    </xf>
    <xf numFmtId="0" fontId="0" fillId="4" borderId="1" xfId="0" applyFill="1" applyBorder="1" applyAlignment="1">
      <alignment vertical="center"/>
    </xf>
    <xf numFmtId="0" fontId="11" fillId="0" borderId="1" xfId="0" applyFont="1" applyBorder="1" applyAlignment="1">
      <alignment wrapText="1"/>
    </xf>
    <xf numFmtId="0" fontId="13" fillId="0" borderId="1" xfId="0" applyFont="1" applyFill="1" applyBorder="1" applyAlignment="1">
      <alignment vertical="top" wrapText="1"/>
    </xf>
    <xf numFmtId="0" fontId="0" fillId="0" borderId="1" xfId="0" applyFill="1" applyBorder="1" applyAlignment="1">
      <alignment vertical="top"/>
    </xf>
    <xf numFmtId="0" fontId="13" fillId="0" borderId="1" xfId="0" applyFont="1" applyBorder="1" applyAlignment="1">
      <alignment vertical="top" wrapText="1"/>
    </xf>
    <xf numFmtId="0" fontId="13" fillId="0" borderId="1" xfId="0" applyFont="1" applyFill="1" applyBorder="1"/>
    <xf numFmtId="0" fontId="13" fillId="4" borderId="1" xfId="0" applyFont="1" applyFill="1" applyBorder="1"/>
    <xf numFmtId="0" fontId="24" fillId="0" borderId="1" xfId="0" applyFont="1" applyFill="1" applyBorder="1" applyAlignment="1">
      <alignment horizontal="left" vertical="top" wrapText="1"/>
    </xf>
    <xf numFmtId="0" fontId="24" fillId="0" borderId="1" xfId="0" applyFont="1" applyBorder="1" applyAlignment="1">
      <alignment horizontal="left" vertical="center" wrapText="1"/>
    </xf>
    <xf numFmtId="0" fontId="0" fillId="0" borderId="1" xfId="0" applyBorder="1" applyAlignment="1">
      <alignment horizontal="center" vertical="center"/>
    </xf>
    <xf numFmtId="0" fontId="13" fillId="0" borderId="1" xfId="0" applyFont="1" applyBorder="1" applyAlignment="1">
      <alignment horizontal="left" vertical="center" wrapText="1"/>
    </xf>
    <xf numFmtId="0" fontId="13" fillId="0" borderId="1" xfId="0" applyFont="1" applyFill="1" applyBorder="1" applyAlignment="1">
      <alignment horizontal="left" vertical="top" wrapText="1"/>
    </xf>
    <xf numFmtId="0" fontId="13" fillId="2" borderId="1" xfId="2" applyFont="1" applyFill="1" applyBorder="1" applyAlignment="1">
      <alignment horizontal="left" vertical="top" wrapText="1"/>
    </xf>
    <xf numFmtId="0" fontId="24" fillId="2" borderId="1" xfId="2" applyFont="1" applyFill="1" applyBorder="1" applyAlignment="1">
      <alignment horizontal="left" vertical="top" wrapText="1"/>
    </xf>
    <xf numFmtId="4" fontId="0" fillId="0" borderId="1" xfId="0" applyNumberFormat="1" applyFill="1" applyBorder="1"/>
    <xf numFmtId="4" fontId="0" fillId="4" borderId="1" xfId="0" applyNumberFormat="1" applyFill="1" applyBorder="1"/>
    <xf numFmtId="0" fontId="0" fillId="0" borderId="0" xfId="0" applyFill="1"/>
    <xf numFmtId="0" fontId="13" fillId="0" borderId="1" xfId="0" applyFont="1" applyBorder="1" applyAlignment="1">
      <alignment vertical="center" wrapText="1"/>
    </xf>
    <xf numFmtId="0" fontId="5" fillId="5" borderId="1" xfId="0" applyFont="1" applyFill="1" applyBorder="1" applyAlignment="1">
      <alignment horizontal="center" vertical="center" wrapText="1"/>
    </xf>
    <xf numFmtId="0" fontId="0" fillId="0" borderId="1" xfId="0" applyFill="1" applyBorder="1" applyAlignment="1">
      <alignment vertical="center" wrapText="1"/>
    </xf>
    <xf numFmtId="0" fontId="0" fillId="5" borderId="1" xfId="0" applyFill="1" applyBorder="1"/>
    <xf numFmtId="0" fontId="0" fillId="0" borderId="1" xfId="0" applyBorder="1" applyAlignment="1"/>
    <xf numFmtId="0" fontId="0" fillId="5" borderId="1" xfId="0" applyFill="1" applyBorder="1" applyAlignment="1">
      <alignment wrapText="1"/>
    </xf>
    <xf numFmtId="0" fontId="4" fillId="0" borderId="1" xfId="3" applyFont="1" applyFill="1" applyBorder="1" applyAlignment="1">
      <alignment vertical="center"/>
    </xf>
    <xf numFmtId="0" fontId="9" fillId="0" borderId="1" xfId="3" applyFont="1" applyFill="1" applyBorder="1" applyAlignment="1">
      <alignment horizontal="justify" vertical="center" wrapText="1"/>
    </xf>
    <xf numFmtId="0" fontId="5" fillId="4" borderId="1" xfId="0" applyFont="1" applyFill="1" applyBorder="1" applyAlignment="1">
      <alignment vertical="center" wrapText="1"/>
    </xf>
    <xf numFmtId="0" fontId="0" fillId="7" borderId="1" xfId="0" applyFill="1" applyBorder="1"/>
    <xf numFmtId="0" fontId="5" fillId="0" borderId="2" xfId="0" applyFont="1"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Fill="1" applyBorder="1" applyAlignment="1">
      <alignment horizontal="left" vertical="center" wrapText="1" readingOrder="1"/>
    </xf>
    <xf numFmtId="0" fontId="11" fillId="0" borderId="1" xfId="0" applyFont="1" applyFill="1" applyBorder="1" applyAlignment="1">
      <alignment vertical="top" wrapText="1"/>
    </xf>
    <xf numFmtId="0" fontId="0" fillId="7" borderId="1" xfId="0" applyFill="1" applyBorder="1" applyAlignment="1">
      <alignment horizontal="left" wrapText="1"/>
    </xf>
    <xf numFmtId="0" fontId="5" fillId="7" borderId="1" xfId="0" applyFont="1" applyFill="1" applyBorder="1" applyAlignment="1">
      <alignment horizontal="left" vertical="center" wrapText="1"/>
    </xf>
    <xf numFmtId="1" fontId="13" fillId="7" borderId="1" xfId="0" applyNumberFormat="1" applyFont="1" applyFill="1" applyBorder="1" applyAlignment="1">
      <alignment wrapText="1"/>
    </xf>
    <xf numFmtId="0" fontId="17" fillId="7" borderId="1" xfId="0" applyFont="1" applyFill="1" applyBorder="1" applyAlignment="1">
      <alignment wrapText="1"/>
    </xf>
    <xf numFmtId="0" fontId="8" fillId="7" borderId="1" xfId="0" applyFont="1" applyFill="1" applyBorder="1" applyAlignment="1">
      <alignment vertical="center" wrapText="1"/>
    </xf>
    <xf numFmtId="2" fontId="5" fillId="7" borderId="1" xfId="0" applyNumberFormat="1" applyFont="1" applyFill="1" applyBorder="1" applyAlignment="1">
      <alignment horizontal="right" vertical="center"/>
    </xf>
    <xf numFmtId="2" fontId="0" fillId="0" borderId="1" xfId="0" applyNumberFormat="1" applyFill="1" applyBorder="1"/>
    <xf numFmtId="2" fontId="0" fillId="7" borderId="1" xfId="0" applyNumberFormat="1" applyFill="1" applyBorder="1"/>
    <xf numFmtId="0" fontId="5" fillId="4" borderId="1" xfId="0" applyFont="1" applyFill="1" applyBorder="1" applyAlignment="1">
      <alignment horizontal="center" vertical="center" wrapText="1"/>
    </xf>
    <xf numFmtId="2" fontId="20" fillId="0" borderId="1" xfId="0" applyNumberFormat="1" applyFont="1" applyFill="1" applyBorder="1" applyAlignment="1">
      <alignment horizontal="left" vertical="top"/>
    </xf>
    <xf numFmtId="0" fontId="0" fillId="0" borderId="0" xfId="0" applyFill="1" applyAlignment="1">
      <alignment horizontal="left" vertical="top"/>
    </xf>
    <xf numFmtId="0" fontId="0" fillId="0" borderId="2" xfId="0" applyFill="1" applyBorder="1" applyAlignment="1">
      <alignment horizontal="left" vertical="top"/>
    </xf>
    <xf numFmtId="0" fontId="0" fillId="0" borderId="0" xfId="0" applyFill="1" applyBorder="1" applyAlignment="1">
      <alignment horizontal="left" vertical="top" wrapText="1"/>
    </xf>
    <xf numFmtId="0" fontId="13" fillId="0" borderId="1" xfId="0" applyFont="1" applyFill="1" applyBorder="1" applyAlignment="1">
      <alignment vertical="center" wrapText="1"/>
    </xf>
    <xf numFmtId="0" fontId="13" fillId="0" borderId="1" xfId="2" applyFont="1" applyFill="1" applyBorder="1" applyAlignment="1">
      <alignment horizontal="left" vertical="top" wrapText="1"/>
    </xf>
    <xf numFmtId="0" fontId="0" fillId="0" borderId="2" xfId="0" applyFill="1" applyBorder="1" applyAlignment="1">
      <alignment wrapText="1"/>
    </xf>
    <xf numFmtId="0" fontId="5" fillId="0" borderId="2" xfId="0" applyFont="1" applyFill="1" applyBorder="1" applyAlignment="1">
      <alignment horizontal="left" vertical="center" wrapText="1"/>
    </xf>
    <xf numFmtId="1" fontId="0" fillId="0" borderId="2" xfId="0" applyNumberFormat="1" applyFill="1" applyBorder="1" applyAlignment="1">
      <alignment wrapText="1"/>
    </xf>
    <xf numFmtId="0" fontId="0" fillId="0" borderId="2" xfId="0" applyFill="1" applyBorder="1"/>
    <xf numFmtId="0" fontId="7" fillId="0" borderId="1" xfId="0" applyFont="1" applyFill="1" applyBorder="1" applyAlignment="1">
      <alignment horizontal="right" vertical="center" wrapText="1"/>
    </xf>
    <xf numFmtId="0" fontId="7" fillId="0" borderId="1" xfId="1" applyFont="1" applyBorder="1" applyAlignment="1">
      <alignment horizontal="justify" vertical="center" wrapText="1"/>
    </xf>
    <xf numFmtId="2" fontId="5" fillId="4" borderId="1" xfId="0" applyNumberFormat="1" applyFont="1" applyFill="1" applyBorder="1" applyAlignment="1">
      <alignment horizontal="right" vertical="center" wrapText="1"/>
    </xf>
    <xf numFmtId="0" fontId="9" fillId="2" borderId="1" xfId="1" applyFont="1" applyFill="1" applyBorder="1" applyAlignment="1">
      <alignment horizontal="justify" vertical="center" wrapText="1"/>
    </xf>
    <xf numFmtId="0" fontId="9" fillId="0" borderId="1" xfId="0" applyFont="1" applyFill="1" applyBorder="1" applyAlignment="1">
      <alignment horizontal="left" vertical="center" wrapText="1"/>
    </xf>
    <xf numFmtId="0" fontId="0" fillId="0" borderId="0" xfId="0" applyFill="1" applyAlignment="1">
      <alignment vertical="center"/>
    </xf>
    <xf numFmtId="0" fontId="0" fillId="0" borderId="1" xfId="0" applyFont="1" applyBorder="1" applyAlignment="1">
      <alignment horizontal="justify" vertical="center" wrapText="1"/>
    </xf>
    <xf numFmtId="0" fontId="5" fillId="0" borderId="2" xfId="0" applyFont="1" applyFill="1" applyBorder="1" applyAlignment="1">
      <alignment horizontal="center" vertical="center" wrapText="1"/>
    </xf>
    <xf numFmtId="0" fontId="0" fillId="8" borderId="6" xfId="0" applyFill="1" applyBorder="1" applyAlignment="1">
      <alignment vertical="center" wrapText="1"/>
    </xf>
    <xf numFmtId="0" fontId="0" fillId="0" borderId="2" xfId="0" applyBorder="1"/>
    <xf numFmtId="0" fontId="5" fillId="8" borderId="6" xfId="0" applyFont="1" applyFill="1" applyBorder="1" applyAlignment="1">
      <alignment vertical="center" wrapText="1"/>
    </xf>
    <xf numFmtId="0" fontId="0" fillId="8" borderId="0" xfId="0" applyFill="1" applyAlignment="1">
      <alignment wrapText="1"/>
    </xf>
    <xf numFmtId="0" fontId="0" fillId="8" borderId="7" xfId="0" applyFill="1" applyBorder="1" applyAlignment="1">
      <alignment wrapText="1"/>
    </xf>
    <xf numFmtId="0" fontId="0" fillId="8" borderId="1" xfId="0" applyFill="1" applyBorder="1"/>
    <xf numFmtId="0" fontId="0" fillId="8" borderId="1" xfId="0" applyFill="1" applyBorder="1" applyAlignment="1">
      <alignment vertical="center"/>
    </xf>
    <xf numFmtId="0" fontId="5" fillId="8" borderId="1" xfId="0" applyFont="1" applyFill="1" applyBorder="1" applyAlignment="1">
      <alignment vertical="center" wrapText="1"/>
    </xf>
    <xf numFmtId="0" fontId="0" fillId="8" borderId="1" xfId="0" applyFill="1" applyBorder="1" applyAlignment="1">
      <alignment wrapText="1"/>
    </xf>
    <xf numFmtId="0" fontId="5" fillId="0" borderId="8" xfId="0" applyFont="1" applyFill="1" applyBorder="1" applyAlignment="1">
      <alignment horizontal="center" vertical="center" wrapText="1"/>
    </xf>
    <xf numFmtId="0" fontId="0" fillId="5" borderId="1" xfId="0" applyFill="1" applyBorder="1" applyAlignment="1">
      <alignment vertical="center"/>
    </xf>
    <xf numFmtId="2" fontId="1" fillId="0" borderId="1" xfId="0" applyNumberFormat="1" applyFont="1" applyFill="1" applyBorder="1" applyAlignment="1">
      <alignment vertical="center"/>
    </xf>
    <xf numFmtId="0" fontId="5" fillId="0" borderId="8" xfId="0" applyFont="1" applyBorder="1" applyAlignment="1">
      <alignment horizontal="center" vertical="center" wrapText="1"/>
    </xf>
    <xf numFmtId="0" fontId="13" fillId="0" borderId="1" xfId="0" applyFont="1" applyBorder="1" applyAlignment="1">
      <alignment vertical="center"/>
    </xf>
    <xf numFmtId="2" fontId="0" fillId="0" borderId="1" xfId="0" applyNumberFormat="1" applyFill="1" applyBorder="1" applyAlignment="1">
      <alignment vertical="center"/>
    </xf>
    <xf numFmtId="2" fontId="5" fillId="0" borderId="1" xfId="0" applyNumberFormat="1" applyFont="1" applyBorder="1" applyAlignment="1">
      <alignment horizontal="justify" vertical="center" wrapText="1"/>
    </xf>
    <xf numFmtId="0" fontId="9" fillId="0" borderId="1" xfId="0" applyFont="1" applyBorder="1" applyAlignment="1">
      <alignment horizontal="justify" vertical="center" wrapText="1"/>
    </xf>
    <xf numFmtId="2" fontId="9" fillId="0" borderId="1" xfId="0" applyNumberFormat="1" applyFont="1" applyBorder="1" applyAlignment="1">
      <alignment horizontal="justify" vertical="center" wrapText="1"/>
    </xf>
    <xf numFmtId="2" fontId="22" fillId="8" borderId="1" xfId="0" applyNumberFormat="1" applyFont="1" applyFill="1" applyBorder="1" applyAlignment="1">
      <alignment horizontal="right" vertical="center" wrapText="1"/>
    </xf>
    <xf numFmtId="2" fontId="0" fillId="4" borderId="1" xfId="0" applyNumberFormat="1" applyFill="1" applyBorder="1" applyAlignment="1">
      <alignment vertical="center"/>
    </xf>
    <xf numFmtId="2" fontId="13" fillId="3" borderId="1" xfId="0" applyNumberFormat="1" applyFont="1" applyFill="1" applyBorder="1" applyAlignment="1">
      <alignment vertical="center"/>
    </xf>
    <xf numFmtId="0" fontId="13" fillId="0" borderId="1" xfId="0" applyFont="1" applyFill="1" applyBorder="1" applyAlignment="1">
      <alignment vertical="center"/>
    </xf>
    <xf numFmtId="0" fontId="25" fillId="0" borderId="1" xfId="1" applyFont="1" applyBorder="1" applyAlignment="1">
      <alignment vertical="center" wrapText="1"/>
    </xf>
    <xf numFmtId="0" fontId="13" fillId="0" borderId="1" xfId="1" applyFont="1" applyFill="1" applyBorder="1" applyAlignment="1">
      <alignment horizontal="left" vertical="center" wrapText="1"/>
    </xf>
    <xf numFmtId="0" fontId="1" fillId="0" borderId="1" xfId="0" applyFont="1" applyBorder="1" applyAlignment="1">
      <alignment vertical="center"/>
    </xf>
    <xf numFmtId="2" fontId="0" fillId="8" borderId="1" xfId="0" applyNumberFormat="1" applyFill="1" applyBorder="1" applyAlignment="1">
      <alignment vertical="center"/>
    </xf>
    <xf numFmtId="0" fontId="1" fillId="4" borderId="1" xfId="0" applyFont="1" applyFill="1" applyBorder="1" applyAlignment="1">
      <alignment vertical="center"/>
    </xf>
    <xf numFmtId="0" fontId="6" fillId="0" borderId="1" xfId="0" applyFont="1" applyFill="1" applyBorder="1" applyAlignment="1">
      <alignment vertical="center" wrapText="1"/>
    </xf>
    <xf numFmtId="0" fontId="5" fillId="0" borderId="0" xfId="0" applyFont="1" applyFill="1" applyAlignment="1">
      <alignment horizontal="justify" vertical="center" wrapText="1"/>
    </xf>
    <xf numFmtId="2" fontId="13" fillId="0" borderId="1" xfId="0" applyNumberFormat="1" applyFont="1" applyFill="1" applyBorder="1" applyAlignment="1">
      <alignment vertical="center"/>
    </xf>
    <xf numFmtId="0" fontId="0" fillId="0" borderId="0" xfId="0" applyFill="1" applyAlignment="1">
      <alignment vertical="center" wrapText="1"/>
    </xf>
    <xf numFmtId="2" fontId="0" fillId="5" borderId="1" xfId="0" applyNumberFormat="1" applyFill="1" applyBorder="1" applyAlignment="1">
      <alignment vertical="center"/>
    </xf>
    <xf numFmtId="0" fontId="5" fillId="0" borderId="1" xfId="0" applyFont="1" applyBorder="1" applyAlignment="1">
      <alignment horizontal="right" vertical="center" wrapText="1"/>
    </xf>
    <xf numFmtId="0" fontId="5" fillId="0" borderId="1" xfId="0" applyFont="1" applyFill="1" applyBorder="1" applyAlignment="1">
      <alignment horizontal="right" vertical="center" wrapText="1"/>
    </xf>
    <xf numFmtId="0" fontId="0" fillId="0" borderId="0" xfId="0" applyBorder="1" applyAlignment="1">
      <alignment vertical="center" wrapText="1"/>
    </xf>
    <xf numFmtId="2" fontId="8" fillId="0" borderId="1" xfId="0" applyNumberFormat="1" applyFont="1" applyBorder="1" applyAlignment="1">
      <alignment vertical="center" wrapText="1"/>
    </xf>
    <xf numFmtId="2" fontId="0" fillId="0" borderId="0" xfId="0" applyNumberFormat="1" applyFill="1" applyAlignment="1">
      <alignment vertical="center"/>
    </xf>
    <xf numFmtId="0" fontId="9" fillId="0" borderId="1" xfId="1" applyFont="1" applyFill="1" applyBorder="1" applyAlignment="1">
      <alignment horizontal="justify" vertical="center" wrapText="1"/>
    </xf>
    <xf numFmtId="0" fontId="0" fillId="8" borderId="1" xfId="0" applyFill="1" applyBorder="1" applyAlignment="1">
      <alignment vertical="center" wrapText="1"/>
    </xf>
    <xf numFmtId="2" fontId="0" fillId="7" borderId="1" xfId="0" applyNumberFormat="1" applyFill="1" applyBorder="1" applyAlignment="1">
      <alignment vertical="center"/>
    </xf>
    <xf numFmtId="0" fontId="0" fillId="7" borderId="0" xfId="0" applyFill="1" applyAlignment="1">
      <alignment vertical="center" wrapText="1"/>
    </xf>
    <xf numFmtId="0" fontId="0" fillId="7" borderId="2" xfId="0" applyFill="1" applyBorder="1" applyAlignment="1">
      <alignment vertical="center"/>
    </xf>
    <xf numFmtId="0" fontId="0" fillId="5" borderId="2" xfId="0" applyFill="1" applyBorder="1" applyAlignment="1">
      <alignment vertical="center"/>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0" fillId="4" borderId="1" xfId="0" applyFill="1" applyBorder="1" applyAlignment="1">
      <alignment vertical="center" wrapText="1"/>
    </xf>
    <xf numFmtId="1" fontId="5" fillId="0" borderId="1" xfId="0" applyNumberFormat="1" applyFont="1" applyBorder="1" applyAlignment="1">
      <alignment horizontal="right" vertical="center"/>
    </xf>
    <xf numFmtId="1" fontId="5" fillId="0" borderId="1" xfId="0" applyNumberFormat="1" applyFont="1" applyFill="1" applyBorder="1" applyAlignment="1">
      <alignment horizontal="right" vertical="center"/>
    </xf>
    <xf numFmtId="1" fontId="5" fillId="4" borderId="1" xfId="0" applyNumberFormat="1" applyFont="1" applyFill="1" applyBorder="1" applyAlignment="1">
      <alignment horizontal="right" vertical="center"/>
    </xf>
    <xf numFmtId="0" fontId="5" fillId="0" borderId="1" xfId="0" applyFont="1" applyFill="1" applyBorder="1" applyAlignment="1">
      <alignment horizontal="left" vertical="center"/>
    </xf>
    <xf numFmtId="0" fontId="5" fillId="0" borderId="1" xfId="0" applyFont="1" applyBorder="1" applyAlignment="1">
      <alignment horizontal="center" vertical="center"/>
    </xf>
    <xf numFmtId="0" fontId="0" fillId="0" borderId="1" xfId="0" applyNumberFormat="1" applyBorder="1" applyAlignment="1">
      <alignment vertical="center" wrapText="1"/>
    </xf>
    <xf numFmtId="0" fontId="0" fillId="0" borderId="1" xfId="0" applyNumberFormat="1" applyFill="1" applyBorder="1" applyAlignment="1">
      <alignment vertical="center" wrapText="1"/>
    </xf>
    <xf numFmtId="2" fontId="5" fillId="0" borderId="1" xfId="0" applyNumberFormat="1" applyFont="1" applyBorder="1" applyAlignment="1">
      <alignment horizontal="right" vertical="center"/>
    </xf>
    <xf numFmtId="2" fontId="5" fillId="4" borderId="1" xfId="0" applyNumberFormat="1" applyFont="1" applyFill="1" applyBorder="1" applyAlignment="1">
      <alignment horizontal="right" vertical="center"/>
    </xf>
    <xf numFmtId="0" fontId="5" fillId="5" borderId="2" xfId="0" applyFont="1" applyFill="1" applyBorder="1" applyAlignment="1">
      <alignment horizontal="center" vertical="center" wrapText="1"/>
    </xf>
    <xf numFmtId="0" fontId="1" fillId="0" borderId="1" xfId="0" applyFont="1" applyFill="1" applyBorder="1" applyAlignment="1">
      <alignment vertical="center"/>
    </xf>
    <xf numFmtId="1" fontId="5" fillId="0" borderId="0" xfId="0" applyNumberFormat="1" applyFont="1" applyFill="1" applyAlignment="1">
      <alignment horizontal="right" vertical="center"/>
    </xf>
    <xf numFmtId="0" fontId="5" fillId="7" borderId="1" xfId="0" applyFont="1" applyFill="1" applyBorder="1" applyAlignment="1">
      <alignment horizontal="center" vertical="center" wrapText="1"/>
    </xf>
    <xf numFmtId="0" fontId="0" fillId="0" borderId="0" xfId="0" applyFill="1" applyBorder="1" applyAlignment="1">
      <alignment vertical="center"/>
    </xf>
    <xf numFmtId="2" fontId="0" fillId="0" borderId="3" xfId="0" applyNumberFormat="1" applyFill="1" applyBorder="1" applyAlignment="1">
      <alignment vertical="center"/>
    </xf>
    <xf numFmtId="0" fontId="11" fillId="0" borderId="1" xfId="0" applyFont="1" applyBorder="1" applyAlignment="1">
      <alignment vertical="center"/>
    </xf>
    <xf numFmtId="0" fontId="0" fillId="0" borderId="4" xfId="0" applyBorder="1" applyAlignment="1">
      <alignment vertical="center" wrapText="1"/>
    </xf>
    <xf numFmtId="0" fontId="6" fillId="6" borderId="4" xfId="0" applyFont="1" applyFill="1" applyBorder="1" applyAlignment="1">
      <alignment vertical="center" wrapText="1"/>
    </xf>
    <xf numFmtId="0" fontId="0" fillId="6" borderId="9" xfId="0" applyFill="1" applyBorder="1" applyAlignment="1">
      <alignment horizontal="left" vertical="center"/>
    </xf>
    <xf numFmtId="0" fontId="0" fillId="6" borderId="1" xfId="0" applyFill="1" applyBorder="1" applyAlignment="1">
      <alignment vertical="center"/>
    </xf>
    <xf numFmtId="2" fontId="0" fillId="6" borderId="3" xfId="0" applyNumberFormat="1" applyFill="1" applyBorder="1" applyAlignment="1">
      <alignment vertical="center"/>
    </xf>
    <xf numFmtId="0" fontId="0" fillId="0" borderId="9" xfId="0" applyBorder="1" applyAlignment="1">
      <alignment vertical="center" wrapText="1"/>
    </xf>
    <xf numFmtId="0" fontId="0" fillId="5" borderId="9" xfId="0" applyFill="1" applyBorder="1" applyAlignment="1">
      <alignment vertical="center" wrapText="1"/>
    </xf>
    <xf numFmtId="2" fontId="0" fillId="5" borderId="3" xfId="0" applyNumberFormat="1" applyFill="1" applyBorder="1" applyAlignment="1">
      <alignment vertical="center"/>
    </xf>
    <xf numFmtId="0" fontId="0" fillId="0" borderId="3" xfId="0" applyBorder="1" applyAlignment="1">
      <alignment vertical="center"/>
    </xf>
    <xf numFmtId="0" fontId="0" fillId="5" borderId="1" xfId="0" applyFill="1" applyBorder="1" applyAlignment="1">
      <alignment vertical="center" wrapText="1"/>
    </xf>
    <xf numFmtId="2" fontId="0" fillId="0" borderId="1" xfId="0" applyNumberFormat="1" applyBorder="1" applyAlignment="1">
      <alignment vertical="center"/>
    </xf>
    <xf numFmtId="49" fontId="28" fillId="0" borderId="1" xfId="0" applyNumberFormat="1" applyFont="1" applyFill="1" applyBorder="1" applyAlignment="1">
      <alignment horizontal="left"/>
    </xf>
    <xf numFmtId="0" fontId="28" fillId="0" borderId="1" xfId="0" applyFont="1" applyFill="1" applyBorder="1" applyAlignment="1">
      <alignment horizontal="left"/>
    </xf>
    <xf numFmtId="0" fontId="5" fillId="5" borderId="0" xfId="0" applyFont="1" applyFill="1" applyAlignment="1">
      <alignment horizontal="center" vertical="center" wrapText="1"/>
    </xf>
    <xf numFmtId="0" fontId="0" fillId="6" borderId="0" xfId="0" applyFill="1" applyAlignment="1">
      <alignment horizontal="left" vertical="center"/>
    </xf>
    <xf numFmtId="0" fontId="0" fillId="0" borderId="3" xfId="0" applyBorder="1" applyAlignment="1">
      <alignment wrapText="1"/>
    </xf>
    <xf numFmtId="0" fontId="0" fillId="8" borderId="3" xfId="0" applyFill="1" applyBorder="1" applyAlignment="1">
      <alignment vertical="center" wrapText="1"/>
    </xf>
    <xf numFmtId="0" fontId="0" fillId="8" borderId="10" xfId="0" applyFill="1" applyBorder="1" applyAlignment="1">
      <alignment vertical="center" wrapText="1"/>
    </xf>
    <xf numFmtId="0" fontId="13" fillId="6" borderId="3" xfId="0" applyFont="1" applyFill="1" applyBorder="1" applyAlignment="1">
      <alignment horizontal="left" vertical="center" wrapText="1"/>
    </xf>
    <xf numFmtId="0" fontId="0" fillId="0" borderId="10" xfId="0" applyBorder="1" applyAlignment="1">
      <alignment vertical="center" wrapText="1"/>
    </xf>
    <xf numFmtId="0" fontId="9" fillId="2" borderId="1" xfId="0" applyFont="1" applyFill="1" applyBorder="1" applyAlignment="1">
      <alignment horizontal="justify" vertical="center" wrapText="1"/>
    </xf>
    <xf numFmtId="0" fontId="0" fillId="0" borderId="10" xfId="0" applyBorder="1" applyAlignment="1">
      <alignment wrapText="1"/>
    </xf>
    <xf numFmtId="0" fontId="4" fillId="0" borderId="1" xfId="0" applyFont="1" applyFill="1" applyBorder="1" applyAlignment="1">
      <alignment horizontal="justify" vertical="center" wrapText="1"/>
    </xf>
    <xf numFmtId="0" fontId="0" fillId="8" borderId="4" xfId="0" applyFill="1" applyBorder="1" applyAlignment="1">
      <alignment vertical="center" wrapText="1"/>
    </xf>
    <xf numFmtId="0" fontId="0" fillId="0" borderId="4" xfId="0" applyBorder="1" applyAlignment="1">
      <alignment wrapText="1"/>
    </xf>
    <xf numFmtId="0" fontId="0" fillId="0" borderId="9" xfId="0" applyBorder="1" applyAlignment="1">
      <alignment wrapText="1"/>
    </xf>
    <xf numFmtId="0" fontId="5" fillId="4" borderId="1" xfId="0" applyFont="1" applyFill="1" applyBorder="1" applyAlignment="1">
      <alignment horizontal="right" vertical="center" wrapText="1"/>
    </xf>
    <xf numFmtId="0" fontId="9" fillId="0" borderId="1" xfId="0" applyFont="1" applyBorder="1" applyAlignment="1">
      <alignment horizontal="right" vertical="center" wrapText="1"/>
    </xf>
    <xf numFmtId="2" fontId="5" fillId="7" borderId="1" xfId="0" applyNumberFormat="1" applyFont="1" applyFill="1" applyBorder="1" applyAlignment="1">
      <alignment horizontal="right" vertical="center" wrapText="1"/>
    </xf>
    <xf numFmtId="2" fontId="0" fillId="0" borderId="1" xfId="0" applyNumberFormat="1" applyBorder="1" applyAlignment="1">
      <alignment horizontal="left" vertical="center"/>
    </xf>
    <xf numFmtId="0" fontId="1" fillId="0" borderId="1" xfId="0" applyFont="1" applyBorder="1" applyAlignment="1">
      <alignment horizontal="left" vertical="center"/>
    </xf>
    <xf numFmtId="0" fontId="25" fillId="0" borderId="1" xfId="2" applyFont="1" applyBorder="1" applyAlignment="1">
      <alignment vertical="center" wrapText="1"/>
    </xf>
    <xf numFmtId="4" fontId="28" fillId="0" borderId="1" xfId="0" applyNumberFormat="1" applyFont="1" applyFill="1" applyBorder="1" applyAlignment="1">
      <alignment horizontal="left" vertical="top" wrapText="1"/>
    </xf>
    <xf numFmtId="0" fontId="9" fillId="3"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165" fontId="0" fillId="0" borderId="1" xfId="4" applyFont="1" applyBorder="1" applyAlignment="1">
      <alignment horizontal="left" vertical="center"/>
    </xf>
    <xf numFmtId="2" fontId="9" fillId="2" borderId="1" xfId="0" applyNumberFormat="1" applyFont="1" applyFill="1" applyBorder="1" applyAlignment="1">
      <alignment horizontal="right" vertical="center" wrapText="1"/>
    </xf>
    <xf numFmtId="165" fontId="13" fillId="4" borderId="1" xfId="0" applyNumberFormat="1" applyFont="1" applyFill="1" applyBorder="1" applyAlignment="1">
      <alignment vertical="center"/>
    </xf>
    <xf numFmtId="2" fontId="13" fillId="4" borderId="1" xfId="0" applyNumberFormat="1" applyFont="1" applyFill="1" applyBorder="1" applyAlignment="1">
      <alignment vertical="center"/>
    </xf>
    <xf numFmtId="165" fontId="0" fillId="0" borderId="1" xfId="0" applyNumberFormat="1" applyFill="1" applyBorder="1" applyAlignment="1">
      <alignment vertical="center"/>
    </xf>
    <xf numFmtId="0" fontId="1" fillId="7" borderId="1" xfId="0" applyFont="1" applyFill="1" applyBorder="1" applyAlignment="1">
      <alignment vertical="center"/>
    </xf>
    <xf numFmtId="0" fontId="4" fillId="7" borderId="1" xfId="0" applyFont="1" applyFill="1" applyBorder="1" applyAlignment="1">
      <alignment horizontal="right" vertical="center" wrapText="1"/>
    </xf>
    <xf numFmtId="2" fontId="1" fillId="4" borderId="1" xfId="0" applyNumberFormat="1" applyFont="1" applyFill="1" applyBorder="1" applyAlignment="1">
      <alignment vertical="center"/>
    </xf>
    <xf numFmtId="2" fontId="7" fillId="0" borderId="1" xfId="1" applyNumberFormat="1" applyFont="1" applyBorder="1" applyAlignment="1">
      <alignment horizontal="right" vertical="center"/>
    </xf>
    <xf numFmtId="0" fontId="0" fillId="0" borderId="1" xfId="0" applyBorder="1" applyAlignment="1">
      <alignment horizontal="center" vertical="center" wrapText="1"/>
    </xf>
    <xf numFmtId="0" fontId="26" fillId="0" borderId="1" xfId="0" applyFont="1" applyFill="1" applyBorder="1" applyAlignment="1">
      <alignment vertical="top" wrapText="1"/>
    </xf>
    <xf numFmtId="4" fontId="29" fillId="0" borderId="1" xfId="0" applyNumberFormat="1" applyFont="1" applyBorder="1" applyAlignment="1">
      <alignment vertical="center"/>
    </xf>
    <xf numFmtId="2" fontId="7" fillId="7" borderId="1" xfId="1" applyNumberFormat="1" applyFont="1" applyFill="1" applyBorder="1" applyAlignment="1">
      <alignment vertical="center" wrapText="1"/>
    </xf>
    <xf numFmtId="0" fontId="4" fillId="7" borderId="1" xfId="0" applyFont="1" applyFill="1" applyBorder="1" applyAlignment="1">
      <alignment wrapText="1"/>
    </xf>
    <xf numFmtId="2" fontId="7" fillId="4" borderId="1" xfId="1" applyNumberFormat="1" applyFont="1" applyFill="1" applyBorder="1" applyAlignment="1">
      <alignment vertical="center" wrapText="1"/>
    </xf>
    <xf numFmtId="165" fontId="0" fillId="4" borderId="1" xfId="0" applyNumberFormat="1" applyFill="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0" fillId="0" borderId="0" xfId="0" applyFill="1" applyBorder="1" applyAlignment="1"/>
    <xf numFmtId="0" fontId="10" fillId="0" borderId="1" xfId="0" applyFont="1" applyBorder="1" applyAlignment="1">
      <alignment horizontal="center" vertical="center" wrapText="1"/>
    </xf>
    <xf numFmtId="0" fontId="0" fillId="0" borderId="1" xfId="0" applyFill="1" applyBorder="1" applyAlignment="1">
      <alignment horizontal="center" wrapText="1"/>
    </xf>
    <xf numFmtId="0" fontId="11" fillId="0" borderId="1" xfId="0" applyFont="1" applyBorder="1" applyAlignment="1">
      <alignment horizontal="center" wrapText="1"/>
    </xf>
    <xf numFmtId="0" fontId="0" fillId="0" borderId="1" xfId="0" applyBorder="1" applyAlignment="1">
      <alignment horizontal="center" wrapText="1"/>
    </xf>
    <xf numFmtId="0" fontId="13" fillId="2" borderId="1" xfId="2" applyFont="1" applyFill="1" applyBorder="1" applyAlignment="1">
      <alignment horizontal="center" vertical="top" wrapText="1"/>
    </xf>
    <xf numFmtId="0" fontId="11" fillId="0" borderId="1" xfId="0" applyFont="1" applyFill="1" applyBorder="1" applyAlignment="1">
      <alignment horizontal="center" vertical="top" wrapText="1"/>
    </xf>
    <xf numFmtId="0" fontId="0" fillId="0" borderId="1" xfId="0" applyBorder="1" applyAlignment="1">
      <alignment horizontal="center" vertical="top" wrapText="1"/>
    </xf>
    <xf numFmtId="0" fontId="13" fillId="0" borderId="1" xfId="0" applyFont="1" applyFill="1" applyBorder="1" applyAlignment="1">
      <alignment horizontal="center" vertical="top" wrapText="1"/>
    </xf>
    <xf numFmtId="0" fontId="9" fillId="0" borderId="1" xfId="3" applyFont="1" applyFill="1" applyBorder="1" applyAlignment="1">
      <alignment horizontal="center" vertical="center" wrapText="1"/>
    </xf>
    <xf numFmtId="0" fontId="6" fillId="0" borderId="1" xfId="0" applyFont="1" applyFill="1" applyBorder="1" applyAlignment="1">
      <alignment horizontal="center" vertical="top" wrapText="1"/>
    </xf>
    <xf numFmtId="0" fontId="24" fillId="2" borderId="1" xfId="2" applyFont="1" applyFill="1" applyBorder="1" applyAlignment="1">
      <alignment horizontal="center" vertical="top" wrapText="1"/>
    </xf>
    <xf numFmtId="0" fontId="0" fillId="0" borderId="1" xfId="0" applyBorder="1" applyAlignment="1">
      <alignment horizontal="center"/>
    </xf>
    <xf numFmtId="0" fontId="11" fillId="0" borderId="1" xfId="0" applyFont="1" applyBorder="1" applyAlignment="1">
      <alignment horizontal="center"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top" wrapText="1"/>
    </xf>
    <xf numFmtId="0" fontId="24" fillId="0" borderId="1" xfId="0" applyFont="1" applyFill="1" applyBorder="1" applyAlignment="1">
      <alignment horizontal="center" vertical="top" wrapText="1"/>
    </xf>
    <xf numFmtId="2"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3" fillId="0" borderId="1" xfId="0" applyFont="1" applyBorder="1" applyAlignment="1">
      <alignment horizontal="center" vertical="center"/>
    </xf>
    <xf numFmtId="4" fontId="28" fillId="0" borderId="1" xfId="0" applyNumberFormat="1" applyFont="1" applyFill="1" applyBorder="1" applyAlignment="1">
      <alignment horizontal="center" vertical="top" wrapText="1"/>
    </xf>
    <xf numFmtId="0" fontId="9"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7" borderId="1" xfId="0" applyFont="1" applyFill="1" applyBorder="1" applyAlignment="1">
      <alignment horizontal="center" vertical="top" wrapText="1"/>
    </xf>
    <xf numFmtId="0" fontId="0" fillId="7" borderId="1" xfId="0" applyFill="1" applyBorder="1" applyAlignment="1">
      <alignment horizontal="center" wrapText="1"/>
    </xf>
    <xf numFmtId="0" fontId="5" fillId="7" borderId="1" xfId="0" applyFont="1" applyFill="1" applyBorder="1" applyAlignment="1">
      <alignment horizontal="center" vertical="top" wrapText="1"/>
    </xf>
    <xf numFmtId="0" fontId="0" fillId="7" borderId="1" xfId="0" applyFill="1" applyBorder="1" applyAlignment="1">
      <alignment horizontal="center" vertical="top"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7" borderId="1" xfId="0" applyFont="1" applyFill="1" applyBorder="1" applyAlignment="1">
      <alignment horizontal="center" wrapText="1"/>
    </xf>
    <xf numFmtId="0" fontId="0" fillId="0" borderId="1" xfId="0" applyFont="1" applyFill="1" applyBorder="1" applyAlignment="1">
      <alignment horizontal="center" vertical="center" wrapText="1"/>
    </xf>
    <xf numFmtId="0" fontId="0" fillId="0" borderId="1" xfId="0" applyNumberFormat="1" applyFill="1" applyBorder="1" applyAlignment="1">
      <alignment horizontal="center" vertical="top" wrapText="1"/>
    </xf>
    <xf numFmtId="0" fontId="5" fillId="0" borderId="1" xfId="0" applyFont="1" applyFill="1" applyBorder="1" applyAlignment="1">
      <alignment horizontal="center" vertical="top" wrapText="1"/>
    </xf>
    <xf numFmtId="0" fontId="0" fillId="0" borderId="1" xfId="0" applyNumberFormat="1" applyBorder="1" applyAlignment="1">
      <alignment horizontal="center" vertical="center" wrapText="1"/>
    </xf>
    <xf numFmtId="0" fontId="30" fillId="0" borderId="1" xfId="0" applyFont="1" applyFill="1" applyBorder="1" applyAlignment="1">
      <alignment horizontal="left" vertical="center" wrapText="1"/>
    </xf>
    <xf numFmtId="0" fontId="0" fillId="0" borderId="0" xfId="0" applyAlignment="1">
      <alignment readingOrder="1"/>
    </xf>
    <xf numFmtId="0" fontId="2" fillId="0" borderId="0" xfId="0" applyFont="1"/>
    <xf numFmtId="166" fontId="0" fillId="0" borderId="0" xfId="0" applyNumberFormat="1"/>
    <xf numFmtId="166" fontId="2" fillId="0" borderId="0" xfId="0" applyNumberFormat="1" applyFont="1"/>
    <xf numFmtId="2" fontId="2" fillId="0" borderId="0" xfId="0" applyNumberFormat="1" applyFont="1"/>
    <xf numFmtId="2" fontId="0" fillId="0" borderId="1" xfId="0" applyNumberFormat="1" applyBorder="1"/>
    <xf numFmtId="0" fontId="0" fillId="0" borderId="1" xfId="0" applyBorder="1" applyAlignment="1">
      <alignment readingOrder="1"/>
    </xf>
    <xf numFmtId="0" fontId="31" fillId="9" borderId="6" xfId="0" applyFont="1" applyFill="1" applyBorder="1" applyAlignment="1">
      <alignment horizontal="left" wrapText="1"/>
    </xf>
    <xf numFmtId="0" fontId="32" fillId="10" borderId="6" xfId="0" applyFont="1" applyFill="1" applyBorder="1" applyAlignment="1">
      <alignment horizontal="left" vertical="center" wrapText="1"/>
    </xf>
    <xf numFmtId="0" fontId="0" fillId="0" borderId="0" xfId="0" applyAlignment="1">
      <alignment vertical="center" wrapText="1"/>
    </xf>
    <xf numFmtId="2" fontId="34" fillId="8" borderId="0" xfId="0" applyNumberFormat="1" applyFont="1" applyFill="1" applyAlignment="1">
      <alignment horizontal="right" vertical="center" wrapText="1"/>
    </xf>
    <xf numFmtId="165" fontId="35" fillId="0" borderId="1" xfId="4" applyFont="1" applyBorder="1" applyAlignment="1">
      <alignment horizontal="left" vertical="top"/>
    </xf>
    <xf numFmtId="165" fontId="35" fillId="6" borderId="1" xfId="4" applyFont="1" applyFill="1" applyBorder="1" applyAlignment="1">
      <alignment horizontal="left" vertical="top"/>
    </xf>
    <xf numFmtId="0" fontId="0" fillId="6" borderId="1" xfId="0" applyFont="1" applyFill="1" applyBorder="1" applyAlignment="1">
      <alignment horizontal="right" vertical="center"/>
    </xf>
    <xf numFmtId="0" fontId="0" fillId="6" borderId="1" xfId="0" applyFont="1" applyFill="1" applyBorder="1" applyAlignment="1">
      <alignment horizontal="right" vertical="center" wrapText="1"/>
    </xf>
    <xf numFmtId="0" fontId="0" fillId="6" borderId="1" xfId="0" applyFill="1" applyBorder="1" applyAlignment="1">
      <alignment horizontal="right" vertical="top"/>
    </xf>
    <xf numFmtId="0" fontId="0" fillId="6" borderId="1" xfId="0" applyFill="1" applyBorder="1" applyAlignment="1">
      <alignment horizontal="right" vertical="center" wrapText="1"/>
    </xf>
    <xf numFmtId="0" fontId="0" fillId="6" borderId="1" xfId="0" applyFill="1" applyBorder="1" applyAlignment="1">
      <alignment horizontal="right" vertical="center"/>
    </xf>
    <xf numFmtId="0" fontId="36" fillId="8" borderId="1" xfId="0" applyFont="1" applyFill="1" applyBorder="1" applyAlignment="1">
      <alignment vertical="top"/>
    </xf>
    <xf numFmtId="0" fontId="13" fillId="0" borderId="1" xfId="0" applyFont="1" applyFill="1" applyBorder="1" applyAlignment="1">
      <alignment horizontal="right" vertical="center"/>
    </xf>
    <xf numFmtId="0" fontId="9" fillId="6" borderId="1" xfId="0" applyFont="1" applyFill="1" applyBorder="1" applyAlignment="1">
      <alignment vertical="center" wrapText="1"/>
    </xf>
    <xf numFmtId="0" fontId="7" fillId="0" borderId="1" xfId="1" applyFont="1" applyFill="1" applyBorder="1" applyAlignment="1">
      <alignment horizontal="center" vertical="center" wrapText="1"/>
    </xf>
    <xf numFmtId="0" fontId="0" fillId="6" borderId="1" xfId="0" applyFill="1" applyBorder="1"/>
    <xf numFmtId="0" fontId="13" fillId="6" borderId="1" xfId="0" applyFont="1" applyFill="1" applyBorder="1"/>
    <xf numFmtId="0" fontId="1" fillId="6" borderId="1" xfId="0" applyFont="1" applyFill="1" applyBorder="1" applyAlignment="1">
      <alignment vertical="center"/>
    </xf>
    <xf numFmtId="2" fontId="5" fillId="6" borderId="1" xfId="0" applyNumberFormat="1" applyFont="1" applyFill="1" applyBorder="1" applyAlignment="1">
      <alignment horizontal="right" vertical="center" wrapText="1"/>
    </xf>
    <xf numFmtId="0" fontId="13" fillId="6" borderId="1" xfId="0" applyFont="1" applyFill="1" applyBorder="1" applyAlignment="1">
      <alignment vertical="center"/>
    </xf>
    <xf numFmtId="2" fontId="7" fillId="6" borderId="1" xfId="1" applyNumberFormat="1" applyFont="1" applyFill="1" applyBorder="1" applyAlignment="1">
      <alignment vertical="center" wrapText="1"/>
    </xf>
    <xf numFmtId="2" fontId="0" fillId="6" borderId="1" xfId="0" applyNumberFormat="1" applyFill="1" applyBorder="1" applyAlignment="1">
      <alignment vertical="center"/>
    </xf>
    <xf numFmtId="0" fontId="4" fillId="0" borderId="1" xfId="0" applyFont="1" applyBorder="1" applyAlignment="1">
      <alignment horizontal="justify" vertical="center" wrapText="1"/>
    </xf>
    <xf numFmtId="2" fontId="9" fillId="6" borderId="1" xfId="1" applyNumberFormat="1" applyFont="1" applyFill="1" applyBorder="1" applyAlignment="1">
      <alignment vertical="center" wrapText="1"/>
    </xf>
    <xf numFmtId="0" fontId="9" fillId="11" borderId="1" xfId="0" applyFont="1" applyFill="1" applyBorder="1" applyAlignment="1">
      <alignment horizontal="justify" vertical="center" wrapText="1"/>
    </xf>
    <xf numFmtId="0" fontId="5" fillId="6" borderId="1" xfId="0" applyFont="1" applyFill="1" applyBorder="1" applyAlignment="1">
      <alignment horizontal="right" vertical="center" wrapText="1"/>
    </xf>
    <xf numFmtId="0" fontId="30" fillId="0" borderId="1" xfId="0" applyFont="1" applyBorder="1" applyAlignment="1">
      <alignment horizontal="justify" vertical="center" wrapText="1"/>
    </xf>
    <xf numFmtId="0" fontId="5" fillId="6" borderId="1" xfId="0" applyFont="1" applyFill="1" applyBorder="1" applyAlignment="1">
      <alignment vertical="center" wrapText="1"/>
    </xf>
    <xf numFmtId="4" fontId="0" fillId="0" borderId="0" xfId="0" applyNumberFormat="1" applyAlignment="1">
      <alignment horizontal="right" vertical="top"/>
    </xf>
    <xf numFmtId="0" fontId="0" fillId="5" borderId="0" xfId="0" applyFill="1" applyAlignment="1">
      <alignment vertical="top"/>
    </xf>
    <xf numFmtId="2" fontId="1" fillId="6" borderId="1" xfId="0" applyNumberFormat="1" applyFont="1" applyFill="1" applyBorder="1" applyAlignment="1">
      <alignment vertical="center"/>
    </xf>
    <xf numFmtId="2" fontId="5" fillId="6" borderId="1" xfId="0" applyNumberFormat="1" applyFont="1" applyFill="1" applyBorder="1" applyAlignment="1">
      <alignment vertical="center" wrapText="1"/>
    </xf>
    <xf numFmtId="0" fontId="1" fillId="6" borderId="1" xfId="0" applyFont="1" applyFill="1" applyBorder="1"/>
    <xf numFmtId="4" fontId="0" fillId="0" borderId="1" xfId="0" applyNumberFormat="1" applyFill="1" applyBorder="1" applyAlignment="1">
      <alignment horizontal="left" vertical="top" wrapText="1"/>
    </xf>
    <xf numFmtId="165" fontId="0" fillId="0" borderId="0" xfId="0" applyNumberFormat="1"/>
    <xf numFmtId="0" fontId="0" fillId="0" borderId="0" xfId="0" applyAlignment="1"/>
    <xf numFmtId="0" fontId="0" fillId="0" borderId="0" xfId="0" applyAlignment="1">
      <alignment horizontal="center"/>
    </xf>
    <xf numFmtId="0" fontId="9" fillId="0" borderId="1" xfId="0" applyFont="1" applyFill="1" applyBorder="1" applyAlignment="1">
      <alignment horizontal="center" vertical="center"/>
    </xf>
    <xf numFmtId="0" fontId="2" fillId="13" borderId="1" xfId="0" applyFont="1" applyFill="1" applyBorder="1" applyAlignment="1">
      <alignment horizontal="center" vertical="center" wrapText="1"/>
    </xf>
    <xf numFmtId="0" fontId="2" fillId="13" borderId="1" xfId="0" applyFont="1" applyFill="1" applyBorder="1" applyAlignment="1">
      <alignment vertical="top" wrapText="1"/>
    </xf>
    <xf numFmtId="0" fontId="2" fillId="13" borderId="1" xfId="0" applyFont="1" applyFill="1" applyBorder="1" applyAlignment="1">
      <alignment horizontal="center" vertical="top" wrapText="1"/>
    </xf>
    <xf numFmtId="0" fontId="13" fillId="0" borderId="1" xfId="0" applyFont="1" applyFill="1" applyBorder="1" applyAlignment="1">
      <alignment horizontal="center"/>
    </xf>
    <xf numFmtId="2" fontId="9" fillId="0" borderId="1" xfId="0" applyNumberFormat="1" applyFont="1" applyFill="1" applyBorder="1" applyAlignment="1">
      <alignment horizontal="center" vertical="center" wrapText="1"/>
    </xf>
    <xf numFmtId="0" fontId="9" fillId="0" borderId="1" xfId="0" applyFont="1" applyFill="1" applyBorder="1" applyAlignment="1">
      <alignment wrapText="1"/>
    </xf>
    <xf numFmtId="0" fontId="9" fillId="0" borderId="1" xfId="0" applyFont="1" applyFill="1" applyBorder="1" applyAlignment="1">
      <alignment horizontal="center"/>
    </xf>
    <xf numFmtId="0" fontId="9" fillId="0" borderId="1" xfId="0" applyFont="1" applyFill="1" applyBorder="1" applyAlignment="1">
      <alignment vertical="top" wrapText="1"/>
    </xf>
    <xf numFmtId="4" fontId="13" fillId="0" borderId="1" xfId="0" applyNumberFormat="1" applyFont="1" applyFill="1" applyBorder="1" applyAlignment="1">
      <alignment horizontal="left" vertical="top" wrapText="1"/>
    </xf>
    <xf numFmtId="0" fontId="13" fillId="0" borderId="0" xfId="0" applyFont="1" applyFill="1" applyBorder="1" applyAlignment="1">
      <alignment wrapText="1"/>
    </xf>
    <xf numFmtId="0" fontId="9" fillId="0" borderId="11" xfId="0" applyFont="1" applyFill="1" applyBorder="1" applyAlignment="1">
      <alignment vertical="center"/>
    </xf>
    <xf numFmtId="2" fontId="9" fillId="0" borderId="0" xfId="0" applyNumberFormat="1" applyFont="1" applyFill="1" applyBorder="1" applyAlignment="1">
      <alignment horizontal="center" vertical="center" wrapText="1"/>
    </xf>
    <xf numFmtId="0" fontId="9" fillId="0" borderId="0" xfId="0" applyFont="1" applyFill="1" applyAlignment="1">
      <alignment wrapText="1"/>
    </xf>
    <xf numFmtId="0" fontId="9" fillId="0" borderId="0" xfId="0" applyFont="1" applyFill="1" applyBorder="1" applyAlignment="1">
      <alignment horizontal="left" vertical="center" wrapText="1"/>
    </xf>
    <xf numFmtId="0" fontId="13" fillId="0" borderId="1" xfId="0" applyFont="1" applyFill="1" applyBorder="1" applyAlignment="1">
      <alignment wrapText="1"/>
    </xf>
    <xf numFmtId="4" fontId="13" fillId="0" borderId="1" xfId="0" applyNumberFormat="1" applyFont="1" applyFill="1" applyBorder="1" applyAlignment="1">
      <alignment vertical="top" wrapText="1"/>
    </xf>
    <xf numFmtId="0" fontId="13" fillId="0" borderId="0" xfId="0" applyFont="1" applyFill="1" applyAlignment="1">
      <alignment wrapText="1"/>
    </xf>
    <xf numFmtId="0" fontId="7" fillId="0" borderId="5" xfId="0" applyFont="1" applyFill="1" applyBorder="1" applyAlignment="1">
      <alignment vertical="center"/>
    </xf>
    <xf numFmtId="2" fontId="39" fillId="0" borderId="5" xfId="0" applyNumberFormat="1" applyFont="1" applyFill="1" applyBorder="1" applyAlignment="1">
      <alignment horizontal="center" wrapText="1"/>
    </xf>
    <xf numFmtId="0" fontId="13" fillId="12" borderId="1" xfId="0" applyFont="1" applyFill="1" applyBorder="1" applyAlignment="1">
      <alignment horizontal="center"/>
    </xf>
    <xf numFmtId="2" fontId="9" fillId="12" borderId="1" xfId="4" applyNumberFormat="1" applyFont="1" applyFill="1" applyBorder="1" applyAlignment="1">
      <alignment horizontal="center" vertical="top"/>
    </xf>
    <xf numFmtId="165" fontId="9" fillId="12" borderId="1" xfId="4" applyNumberFormat="1" applyFont="1" applyFill="1" applyBorder="1" applyAlignment="1">
      <alignment vertical="top"/>
    </xf>
    <xf numFmtId="0" fontId="9" fillId="12" borderId="1" xfId="0" applyFont="1" applyFill="1" applyBorder="1" applyAlignment="1">
      <alignment horizontal="center" vertical="center" wrapText="1"/>
    </xf>
    <xf numFmtId="2" fontId="9" fillId="12" borderId="1" xfId="0" applyNumberFormat="1" applyFont="1" applyFill="1" applyBorder="1" applyAlignment="1">
      <alignment horizontal="center" vertical="center" wrapText="1"/>
    </xf>
    <xf numFmtId="0" fontId="9" fillId="12" borderId="1" xfId="0" applyFont="1" applyFill="1" applyBorder="1" applyAlignment="1">
      <alignment horizontal="center" vertical="center"/>
    </xf>
    <xf numFmtId="0" fontId="13" fillId="12" borderId="0" xfId="0" applyFont="1" applyFill="1" applyAlignment="1">
      <alignment horizontal="center"/>
    </xf>
    <xf numFmtId="2" fontId="9" fillId="0" borderId="1" xfId="0" applyNumberFormat="1" applyFont="1" applyFill="1" applyBorder="1" applyAlignment="1">
      <alignment horizontal="center" vertical="center" wrapText="1"/>
    </xf>
    <xf numFmtId="165" fontId="26" fillId="8" borderId="1" xfId="4" applyFont="1" applyFill="1" applyBorder="1" applyAlignment="1">
      <alignment vertical="top"/>
    </xf>
    <xf numFmtId="2" fontId="9" fillId="8"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5" xfId="0" applyFont="1" applyFill="1" applyBorder="1" applyAlignment="1">
      <alignment horizontal="center" vertical="center" wrapText="1"/>
    </xf>
    <xf numFmtId="2" fontId="9" fillId="8" borderId="2" xfId="0" applyNumberFormat="1" applyFont="1" applyFill="1" applyBorder="1" applyAlignment="1">
      <alignment horizontal="center" vertical="center" wrapText="1"/>
    </xf>
    <xf numFmtId="2" fontId="9" fillId="8" borderId="11" xfId="0" applyNumberFormat="1" applyFont="1" applyFill="1" applyBorder="1" applyAlignment="1">
      <alignment horizontal="center" vertical="center" wrapText="1"/>
    </xf>
    <xf numFmtId="2" fontId="9" fillId="8" borderId="5"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3" xfId="0" applyBorder="1" applyAlignment="1">
      <alignment horizontal="right" vertical="center" wrapText="1"/>
    </xf>
    <xf numFmtId="2" fontId="13" fillId="8" borderId="2" xfId="0" applyNumberFormat="1" applyFont="1" applyFill="1" applyBorder="1" applyAlignment="1">
      <alignment horizontal="center" vertical="center" wrapText="1"/>
    </xf>
    <xf numFmtId="2" fontId="13" fillId="8" borderId="11" xfId="0" applyNumberFormat="1" applyFont="1" applyFill="1" applyBorder="1" applyAlignment="1">
      <alignment horizontal="center" vertical="center" wrapText="1"/>
    </xf>
    <xf numFmtId="2" fontId="13" fillId="8" borderId="5" xfId="0" applyNumberFormat="1" applyFont="1" applyFill="1" applyBorder="1" applyAlignment="1">
      <alignment horizontal="center" vertical="center" wrapText="1"/>
    </xf>
    <xf numFmtId="2" fontId="9" fillId="8"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2" xfId="0" applyFont="1" applyFill="1" applyBorder="1" applyAlignment="1">
      <alignment horizontal="center" vertical="top" wrapText="1"/>
    </xf>
    <xf numFmtId="0" fontId="13" fillId="0" borderId="5" xfId="0" applyFont="1" applyFill="1" applyBorder="1" applyAlignment="1">
      <alignment horizontal="center" vertical="top" wrapText="1"/>
    </xf>
    <xf numFmtId="2" fontId="9" fillId="8" borderId="2" xfId="0" applyNumberFormat="1" applyFont="1" applyFill="1" applyBorder="1" applyAlignment="1">
      <alignment horizontal="center" vertical="top" wrapText="1"/>
    </xf>
    <xf numFmtId="0" fontId="13" fillId="8" borderId="5" xfId="0" applyFont="1" applyFill="1" applyBorder="1" applyAlignment="1">
      <alignment horizontal="center" vertical="top" wrapText="1"/>
    </xf>
    <xf numFmtId="0" fontId="13" fillId="8" borderId="11" xfId="0" applyFont="1" applyFill="1" applyBorder="1" applyAlignment="1">
      <alignment horizontal="center" vertical="center" wrapText="1"/>
    </xf>
    <xf numFmtId="0" fontId="13" fillId="8" borderId="5" xfId="0" applyFont="1" applyFill="1" applyBorder="1" applyAlignment="1">
      <alignment horizontal="center" vertical="center" wrapText="1"/>
    </xf>
    <xf numFmtId="2" fontId="9" fillId="0" borderId="1" xfId="0" applyNumberFormat="1" applyFont="1" applyFill="1" applyBorder="1" applyAlignment="1">
      <alignment horizontal="center" vertical="center" wrapText="1"/>
    </xf>
  </cellXfs>
  <cellStyles count="6">
    <cellStyle name="Comma" xfId="4" builtinId="3"/>
    <cellStyle name="Normal" xfId="0" builtinId="0"/>
    <cellStyle name="Normal 2" xfId="1"/>
    <cellStyle name="Normal 2 2" xfId="2"/>
    <cellStyle name="Normal 3" xfId="5"/>
    <cellStyle name="Normal 4" xfId="3"/>
  </cellStyles>
  <dxfs count="2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7"/>
  <sheetViews>
    <sheetView topLeftCell="A51" workbookViewId="0">
      <selection activeCell="B53" sqref="B53"/>
    </sheetView>
  </sheetViews>
  <sheetFormatPr defaultRowHeight="15" x14ac:dyDescent="0.25"/>
  <cols>
    <col min="2" max="2" width="37.7109375" customWidth="1"/>
    <col min="4" max="4" width="11" bestFit="1" customWidth="1"/>
  </cols>
  <sheetData>
    <row r="1" spans="2:4" x14ac:dyDescent="0.25">
      <c r="B1" s="72" t="s">
        <v>740</v>
      </c>
      <c r="C1" s="72" t="s">
        <v>742</v>
      </c>
      <c r="D1" t="s">
        <v>787</v>
      </c>
    </row>
    <row r="2" spans="2:4" ht="30" x14ac:dyDescent="0.25">
      <c r="B2" s="67" t="s">
        <v>780</v>
      </c>
      <c r="C2" s="67">
        <v>1</v>
      </c>
      <c r="D2" s="72">
        <v>850000</v>
      </c>
    </row>
    <row r="3" spans="2:4" ht="30" x14ac:dyDescent="0.25">
      <c r="B3" s="67" t="s">
        <v>781</v>
      </c>
      <c r="C3" s="67">
        <v>2</v>
      </c>
      <c r="D3" s="72">
        <v>131231</v>
      </c>
    </row>
    <row r="4" spans="2:4" ht="45" x14ac:dyDescent="0.25">
      <c r="B4" s="67" t="s">
        <v>782</v>
      </c>
      <c r="C4" s="67">
        <v>3</v>
      </c>
      <c r="D4" s="72">
        <v>1883015</v>
      </c>
    </row>
    <row r="5" spans="2:4" ht="120" x14ac:dyDescent="0.25">
      <c r="B5" s="67" t="s">
        <v>296</v>
      </c>
      <c r="C5" s="67">
        <v>4</v>
      </c>
      <c r="D5" s="72">
        <v>250000</v>
      </c>
    </row>
    <row r="6" spans="2:4" ht="51" x14ac:dyDescent="0.25">
      <c r="B6" s="79" t="s">
        <v>755</v>
      </c>
      <c r="C6" s="79">
        <v>5</v>
      </c>
      <c r="D6" s="72">
        <v>1697808</v>
      </c>
    </row>
    <row r="7" spans="2:4" ht="75" x14ac:dyDescent="0.25">
      <c r="B7" s="67" t="s">
        <v>765</v>
      </c>
      <c r="C7" s="67">
        <v>6</v>
      </c>
      <c r="D7" s="72">
        <v>13148966</v>
      </c>
    </row>
    <row r="8" spans="2:4" ht="45" x14ac:dyDescent="0.25">
      <c r="B8" s="67" t="s">
        <v>766</v>
      </c>
      <c r="C8" s="67">
        <v>7</v>
      </c>
      <c r="D8" s="72">
        <v>3245000</v>
      </c>
    </row>
    <row r="9" spans="2:4" ht="45" x14ac:dyDescent="0.25">
      <c r="B9" s="67" t="s">
        <v>767</v>
      </c>
      <c r="C9" s="67">
        <v>8</v>
      </c>
      <c r="D9" s="72">
        <v>584728</v>
      </c>
    </row>
    <row r="10" spans="2:4" ht="60" x14ac:dyDescent="0.25">
      <c r="B10" s="67" t="s">
        <v>768</v>
      </c>
      <c r="C10" s="67">
        <v>9</v>
      </c>
      <c r="D10" s="72">
        <v>19634120.5</v>
      </c>
    </row>
    <row r="11" spans="2:4" x14ac:dyDescent="0.25">
      <c r="B11" s="67" t="s">
        <v>82</v>
      </c>
      <c r="C11" s="67">
        <v>10</v>
      </c>
      <c r="D11" s="72">
        <v>140758</v>
      </c>
    </row>
    <row r="12" spans="2:4" ht="60" x14ac:dyDescent="0.25">
      <c r="B12" s="67" t="s">
        <v>59</v>
      </c>
      <c r="C12" s="162">
        <v>11</v>
      </c>
      <c r="D12" s="72">
        <v>4160379</v>
      </c>
    </row>
    <row r="13" spans="2:4" ht="60" x14ac:dyDescent="0.25">
      <c r="B13" s="67" t="s">
        <v>86</v>
      </c>
      <c r="C13" s="162">
        <v>12</v>
      </c>
      <c r="D13" s="72">
        <v>63655</v>
      </c>
    </row>
    <row r="14" spans="2:4" ht="45" x14ac:dyDescent="0.25">
      <c r="B14" s="197" t="s">
        <v>756</v>
      </c>
      <c r="C14" s="127">
        <v>13</v>
      </c>
      <c r="D14" s="72">
        <f>979800-499500</f>
        <v>480300</v>
      </c>
    </row>
    <row r="15" spans="2:4" ht="30" x14ac:dyDescent="0.25">
      <c r="B15" s="197" t="s">
        <v>757</v>
      </c>
      <c r="C15" s="127">
        <v>14</v>
      </c>
      <c r="D15" s="72">
        <v>3265495.69</v>
      </c>
    </row>
    <row r="16" spans="2:4" ht="30" x14ac:dyDescent="0.25">
      <c r="B16" s="197" t="s">
        <v>758</v>
      </c>
      <c r="C16" s="127">
        <v>15</v>
      </c>
      <c r="D16" s="72">
        <v>6190230</v>
      </c>
    </row>
    <row r="17" spans="2:8" ht="45" x14ac:dyDescent="0.25">
      <c r="B17" s="197" t="s">
        <v>759</v>
      </c>
      <c r="C17" s="127">
        <v>16</v>
      </c>
      <c r="D17" s="72">
        <v>674600</v>
      </c>
    </row>
    <row r="18" spans="2:8" ht="45" x14ac:dyDescent="0.25">
      <c r="B18" s="67" t="s">
        <v>345</v>
      </c>
      <c r="C18" s="127">
        <v>13</v>
      </c>
      <c r="D18" s="72">
        <v>499500</v>
      </c>
      <c r="H18" s="351"/>
    </row>
    <row r="19" spans="2:8" ht="75" x14ac:dyDescent="0.25">
      <c r="B19" s="197" t="s">
        <v>760</v>
      </c>
      <c r="C19" s="127">
        <v>17</v>
      </c>
      <c r="D19" s="72">
        <v>1050000</v>
      </c>
    </row>
    <row r="20" spans="2:8" ht="60" x14ac:dyDescent="0.25">
      <c r="B20" s="197" t="s">
        <v>761</v>
      </c>
      <c r="C20" s="127">
        <v>18</v>
      </c>
      <c r="D20" s="72">
        <v>1000000</v>
      </c>
    </row>
    <row r="21" spans="2:8" ht="60" x14ac:dyDescent="0.25">
      <c r="B21" s="197" t="s">
        <v>762</v>
      </c>
      <c r="C21" s="127">
        <v>19</v>
      </c>
      <c r="D21" s="72">
        <v>6667000</v>
      </c>
    </row>
    <row r="22" spans="2:8" ht="45" x14ac:dyDescent="0.25">
      <c r="B22" s="197" t="s">
        <v>763</v>
      </c>
      <c r="C22" s="127">
        <v>20</v>
      </c>
      <c r="D22" s="72">
        <v>962792</v>
      </c>
    </row>
    <row r="23" spans="2:8" ht="60" x14ac:dyDescent="0.25">
      <c r="B23" s="197" t="s">
        <v>764</v>
      </c>
      <c r="C23" s="127">
        <v>21</v>
      </c>
      <c r="D23" s="72">
        <v>91520</v>
      </c>
    </row>
    <row r="24" spans="2:8" ht="38.25" x14ac:dyDescent="0.25">
      <c r="B24" s="207" t="s">
        <v>228</v>
      </c>
      <c r="C24" s="207">
        <v>22</v>
      </c>
      <c r="D24" s="72">
        <v>200000</v>
      </c>
    </row>
    <row r="25" spans="2:8" ht="75" x14ac:dyDescent="0.25">
      <c r="B25" s="67" t="s">
        <v>290</v>
      </c>
      <c r="C25" s="67">
        <v>23</v>
      </c>
      <c r="D25" s="72">
        <v>2500000</v>
      </c>
    </row>
    <row r="26" spans="2:8" ht="38.25" x14ac:dyDescent="0.25">
      <c r="B26" s="232" t="s">
        <v>744</v>
      </c>
      <c r="C26" s="162">
        <v>24</v>
      </c>
      <c r="D26" s="72">
        <v>1052000</v>
      </c>
    </row>
    <row r="27" spans="2:8" ht="51" x14ac:dyDescent="0.25">
      <c r="B27" s="79" t="s">
        <v>754</v>
      </c>
      <c r="C27" s="162">
        <v>25</v>
      </c>
      <c r="D27" s="72">
        <v>1475137</v>
      </c>
    </row>
    <row r="28" spans="2:8" x14ac:dyDescent="0.25">
      <c r="B28" s="232" t="s">
        <v>783</v>
      </c>
      <c r="C28" s="162">
        <v>26</v>
      </c>
      <c r="D28" s="72">
        <v>2497959</v>
      </c>
    </row>
    <row r="29" spans="2:8" x14ac:dyDescent="0.25">
      <c r="B29" s="96" t="s">
        <v>784</v>
      </c>
      <c r="C29" s="162">
        <v>27</v>
      </c>
      <c r="D29" s="72">
        <v>11494016</v>
      </c>
    </row>
    <row r="30" spans="2:8" ht="25.5" x14ac:dyDescent="0.25">
      <c r="B30" s="96" t="s">
        <v>785</v>
      </c>
      <c r="C30" s="162">
        <v>28</v>
      </c>
      <c r="D30" s="72">
        <v>5128549</v>
      </c>
    </row>
    <row r="31" spans="2:8" ht="75" x14ac:dyDescent="0.25">
      <c r="B31" s="67" t="s">
        <v>770</v>
      </c>
      <c r="C31" s="162">
        <v>29</v>
      </c>
      <c r="D31" s="72">
        <v>1356200</v>
      </c>
    </row>
    <row r="32" spans="2:8" ht="51" x14ac:dyDescent="0.25">
      <c r="B32" s="263" t="s">
        <v>433</v>
      </c>
      <c r="C32" s="162">
        <v>30</v>
      </c>
      <c r="D32" s="72">
        <v>652476</v>
      </c>
    </row>
    <row r="33" spans="2:4" ht="90" x14ac:dyDescent="0.25">
      <c r="B33" s="67" t="s">
        <v>106</v>
      </c>
      <c r="C33" s="162">
        <v>31</v>
      </c>
      <c r="D33" s="72">
        <v>520929.5</v>
      </c>
    </row>
    <row r="34" spans="2:4" ht="30" x14ac:dyDescent="0.25">
      <c r="B34" s="67" t="s">
        <v>769</v>
      </c>
      <c r="C34" s="162">
        <v>32</v>
      </c>
      <c r="D34" s="72">
        <v>1354172</v>
      </c>
    </row>
    <row r="35" spans="2:4" ht="25.5" x14ac:dyDescent="0.25">
      <c r="B35" s="96" t="s">
        <v>745</v>
      </c>
      <c r="C35" s="162">
        <v>33</v>
      </c>
      <c r="D35" s="72">
        <v>141365</v>
      </c>
    </row>
    <row r="36" spans="2:4" ht="51" x14ac:dyDescent="0.25">
      <c r="B36" s="96" t="s">
        <v>743</v>
      </c>
      <c r="C36" s="162">
        <v>34</v>
      </c>
      <c r="D36" s="72">
        <v>340000</v>
      </c>
    </row>
    <row r="37" spans="2:4" ht="38.25" x14ac:dyDescent="0.25">
      <c r="B37" s="232" t="s">
        <v>746</v>
      </c>
      <c r="C37" s="162">
        <v>35</v>
      </c>
      <c r="D37" s="72">
        <v>352240</v>
      </c>
    </row>
    <row r="38" spans="2:4" ht="51" x14ac:dyDescent="0.25">
      <c r="B38" s="96" t="s">
        <v>747</v>
      </c>
      <c r="C38" s="162">
        <v>36</v>
      </c>
      <c r="D38" s="72">
        <v>455000</v>
      </c>
    </row>
    <row r="39" spans="2:4" ht="76.5" x14ac:dyDescent="0.25">
      <c r="B39" s="96" t="s">
        <v>596</v>
      </c>
      <c r="C39" s="162">
        <v>37</v>
      </c>
      <c r="D39" s="72">
        <v>400000</v>
      </c>
    </row>
    <row r="40" spans="2:4" ht="25.5" x14ac:dyDescent="0.25">
      <c r="B40" s="96" t="s">
        <v>748</v>
      </c>
      <c r="C40" s="162">
        <v>38</v>
      </c>
      <c r="D40" s="72">
        <v>3210816.4</v>
      </c>
    </row>
    <row r="41" spans="2:4" ht="75" x14ac:dyDescent="0.25">
      <c r="B41" s="55" t="s">
        <v>773</v>
      </c>
      <c r="C41" s="162">
        <v>39</v>
      </c>
      <c r="D41" s="72">
        <v>2330337</v>
      </c>
    </row>
    <row r="42" spans="2:4" ht="30" x14ac:dyDescent="0.25">
      <c r="B42" s="67" t="s">
        <v>771</v>
      </c>
      <c r="C42" s="162">
        <v>40</v>
      </c>
      <c r="D42" s="72">
        <v>156200</v>
      </c>
    </row>
    <row r="43" spans="2:4" ht="75" x14ac:dyDescent="0.25">
      <c r="B43" s="47" t="s">
        <v>772</v>
      </c>
      <c r="C43" s="162">
        <v>41</v>
      </c>
      <c r="D43" s="72">
        <v>424597</v>
      </c>
    </row>
    <row r="44" spans="2:4" ht="51" x14ac:dyDescent="0.25">
      <c r="B44" s="96" t="s">
        <v>749</v>
      </c>
      <c r="C44" s="162">
        <v>42</v>
      </c>
      <c r="D44" s="72">
        <v>4171800</v>
      </c>
    </row>
    <row r="45" spans="2:4" ht="51" x14ac:dyDescent="0.25">
      <c r="B45" s="96" t="s">
        <v>750</v>
      </c>
      <c r="C45" s="162">
        <v>43</v>
      </c>
      <c r="D45" s="72">
        <v>209450</v>
      </c>
    </row>
    <row r="46" spans="2:4" ht="63.75" x14ac:dyDescent="0.25">
      <c r="B46" s="96" t="s">
        <v>751</v>
      </c>
      <c r="C46" s="162">
        <v>44</v>
      </c>
      <c r="D46" s="72">
        <v>4160000</v>
      </c>
    </row>
    <row r="47" spans="2:4" ht="38.25" x14ac:dyDescent="0.25">
      <c r="B47" s="96" t="s">
        <v>752</v>
      </c>
      <c r="C47" s="162">
        <v>45</v>
      </c>
      <c r="D47" s="72">
        <v>294000</v>
      </c>
    </row>
    <row r="48" spans="2:4" x14ac:dyDescent="0.25">
      <c r="B48" s="96" t="s">
        <v>753</v>
      </c>
      <c r="C48" s="162">
        <v>46</v>
      </c>
      <c r="D48" s="72">
        <v>480000</v>
      </c>
    </row>
    <row r="49" spans="2:4" ht="47.25" x14ac:dyDescent="0.25">
      <c r="B49" s="390" t="s">
        <v>774</v>
      </c>
      <c r="C49" s="162">
        <v>47</v>
      </c>
      <c r="D49" s="72">
        <v>975000</v>
      </c>
    </row>
    <row r="50" spans="2:4" ht="63" x14ac:dyDescent="0.25">
      <c r="B50" s="390" t="s">
        <v>775</v>
      </c>
      <c r="C50" s="162">
        <v>48</v>
      </c>
      <c r="D50" s="72">
        <v>1100000</v>
      </c>
    </row>
    <row r="51" spans="2:4" ht="105" x14ac:dyDescent="0.25">
      <c r="B51" s="197" t="s">
        <v>522</v>
      </c>
      <c r="C51" s="162">
        <v>49</v>
      </c>
      <c r="D51" s="72">
        <v>920000</v>
      </c>
    </row>
    <row r="52" spans="2:4" ht="30" x14ac:dyDescent="0.25">
      <c r="B52" s="67" t="s">
        <v>776</v>
      </c>
      <c r="C52" s="162">
        <v>50</v>
      </c>
      <c r="D52" s="72">
        <v>1345000</v>
      </c>
    </row>
    <row r="53" spans="2:4" ht="63.75" x14ac:dyDescent="0.25">
      <c r="B53" s="96" t="s">
        <v>777</v>
      </c>
      <c r="C53" s="162">
        <v>51</v>
      </c>
      <c r="D53" s="72">
        <v>2285957</v>
      </c>
    </row>
    <row r="54" spans="2:4" ht="45" x14ac:dyDescent="0.25">
      <c r="B54" s="197" t="s">
        <v>778</v>
      </c>
      <c r="C54" s="162">
        <v>52</v>
      </c>
      <c r="D54" s="72">
        <v>233000</v>
      </c>
    </row>
    <row r="55" spans="2:4" ht="30" x14ac:dyDescent="0.25">
      <c r="B55" s="67" t="s">
        <v>779</v>
      </c>
      <c r="C55" s="162">
        <v>53</v>
      </c>
      <c r="D55" s="72">
        <v>1284715</v>
      </c>
    </row>
    <row r="57" spans="2:4" x14ac:dyDescent="0.25">
      <c r="D57">
        <f>SUM(D2:D55)</f>
        <v>120172014.09</v>
      </c>
    </row>
  </sheetData>
  <autoFilter ref="B1:C1">
    <sortState ref="B2:C55">
      <sortCondition ref="C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38"/>
  <sheetViews>
    <sheetView zoomScale="80" zoomScaleNormal="80" workbookViewId="0">
      <pane ySplit="3" topLeftCell="A4" activePane="bottomLeft" state="frozen"/>
      <selection pane="bottomLeft" activeCell="D198" sqref="D198"/>
    </sheetView>
  </sheetViews>
  <sheetFormatPr defaultRowHeight="12.75" x14ac:dyDescent="0.25"/>
  <cols>
    <col min="1" max="1" width="4.85546875" style="91" customWidth="1"/>
    <col min="2" max="2" width="12.5703125" style="92" customWidth="1"/>
    <col min="3" max="3" width="20.85546875" style="92" customWidth="1"/>
    <col min="4" max="4" width="40.28515625" style="92" customWidth="1"/>
    <col min="5" max="5" width="11.5703125" style="91" customWidth="1"/>
    <col min="6" max="6" width="11.5703125" style="92" customWidth="1"/>
    <col min="7" max="7" width="13.7109375" style="137" customWidth="1"/>
    <col min="8" max="8" width="1.140625" style="89" customWidth="1"/>
    <col min="9" max="9" width="15.5703125" style="89" customWidth="1"/>
    <col min="10" max="10" width="10.7109375" style="89" customWidth="1"/>
    <col min="11" max="11" width="0.42578125" style="90" customWidth="1"/>
    <col min="12" max="12" width="15.5703125" style="90" customWidth="1"/>
    <col min="13" max="13" width="15.5703125" style="90" bestFit="1" customWidth="1"/>
    <col min="14" max="14" width="15.5703125" style="90" customWidth="1"/>
    <col min="15" max="15" width="21.42578125" style="6" customWidth="1"/>
    <col min="16" max="16" width="25" style="6" customWidth="1"/>
    <col min="17" max="17" width="12.140625" style="6" customWidth="1"/>
    <col min="18" max="16384" width="9.140625" style="6"/>
  </cols>
  <sheetData>
    <row r="1" spans="1:17" x14ac:dyDescent="0.25">
      <c r="A1" s="1" t="s">
        <v>0</v>
      </c>
      <c r="B1" s="2"/>
      <c r="C1" s="1"/>
      <c r="D1" s="3" t="s">
        <v>1</v>
      </c>
      <c r="E1" s="7"/>
      <c r="F1" s="3"/>
      <c r="G1" s="119" t="s">
        <v>2</v>
      </c>
      <c r="H1" s="4"/>
      <c r="I1" s="4"/>
      <c r="J1" s="4"/>
      <c r="K1" s="5"/>
      <c r="L1" s="5"/>
      <c r="M1" s="5"/>
      <c r="N1" s="5"/>
    </row>
    <row r="2" spans="1:17" x14ac:dyDescent="0.25">
      <c r="A2" s="7"/>
      <c r="B2" s="8"/>
      <c r="C2" s="3"/>
      <c r="D2" s="3"/>
      <c r="E2" s="7"/>
      <c r="F2" s="3"/>
      <c r="G2" s="1"/>
      <c r="H2" s="4"/>
      <c r="I2" s="4"/>
      <c r="J2" s="4"/>
      <c r="K2" s="5"/>
      <c r="L2" s="5"/>
      <c r="M2" s="5"/>
      <c r="N2" s="5"/>
    </row>
    <row r="3" spans="1:17" ht="38.25" x14ac:dyDescent="0.25">
      <c r="A3" s="9" t="s">
        <v>3</v>
      </c>
      <c r="B3" s="10" t="s">
        <v>4</v>
      </c>
      <c r="C3" s="11" t="s">
        <v>5</v>
      </c>
      <c r="D3" s="10" t="s">
        <v>6</v>
      </c>
      <c r="E3" s="9" t="s">
        <v>740</v>
      </c>
      <c r="F3" s="12" t="s">
        <v>7</v>
      </c>
      <c r="G3" s="120" t="s">
        <v>8</v>
      </c>
      <c r="H3" s="341" t="s">
        <v>201</v>
      </c>
      <c r="I3" s="13" t="s">
        <v>9</v>
      </c>
      <c r="J3" s="13" t="s">
        <v>10</v>
      </c>
      <c r="K3" s="147" t="s">
        <v>11</v>
      </c>
      <c r="L3" s="14" t="s">
        <v>12</v>
      </c>
      <c r="M3" s="14" t="s">
        <v>13</v>
      </c>
      <c r="N3" s="14" t="s">
        <v>14</v>
      </c>
    </row>
    <row r="4" spans="1:17" ht="45" x14ac:dyDescent="0.25">
      <c r="A4" s="9">
        <v>6</v>
      </c>
      <c r="B4" s="20">
        <v>100024</v>
      </c>
      <c r="C4" s="29" t="s">
        <v>29</v>
      </c>
      <c r="D4" s="29" t="s">
        <v>30</v>
      </c>
      <c r="E4" s="206">
        <v>1</v>
      </c>
      <c r="F4" s="38" t="s">
        <v>31</v>
      </c>
      <c r="G4" s="88" t="s">
        <v>23</v>
      </c>
      <c r="H4" s="23">
        <v>1656500</v>
      </c>
      <c r="I4" s="100">
        <f t="shared" ref="I4:I35" si="0">H4-J4</f>
        <v>1256500</v>
      </c>
      <c r="J4" s="22">
        <v>400000</v>
      </c>
      <c r="K4" s="27">
        <f>150000+200000+500000</f>
        <v>850000</v>
      </c>
      <c r="L4" s="31">
        <f>150000+200000+500000</f>
        <v>850000</v>
      </c>
      <c r="M4" s="14">
        <f t="shared" ref="M4:M35" si="1">H4-(J4+L4)</f>
        <v>406500</v>
      </c>
      <c r="N4" s="27">
        <f>M4</f>
        <v>406500</v>
      </c>
      <c r="O4" s="28"/>
      <c r="P4" s="28"/>
      <c r="Q4" s="17">
        <f t="shared" ref="Q4:Q18" si="2">K4-L4</f>
        <v>0</v>
      </c>
    </row>
    <row r="5" spans="1:17" s="28" customFormat="1" ht="75" x14ac:dyDescent="0.25">
      <c r="A5" s="9">
        <v>3</v>
      </c>
      <c r="B5" s="20">
        <v>100017</v>
      </c>
      <c r="C5" s="21" t="s">
        <v>21</v>
      </c>
      <c r="D5" s="21" t="s">
        <v>22</v>
      </c>
      <c r="E5" s="375">
        <v>2</v>
      </c>
      <c r="F5" s="22" t="s">
        <v>17</v>
      </c>
      <c r="G5" s="122" t="s">
        <v>23</v>
      </c>
      <c r="H5" s="23">
        <v>498740</v>
      </c>
      <c r="I5" s="100">
        <f t="shared" si="0"/>
        <v>132494</v>
      </c>
      <c r="J5" s="24">
        <v>366246</v>
      </c>
      <c r="K5" s="25">
        <f>131231</f>
        <v>131231</v>
      </c>
      <c r="L5" s="26">
        <f>131231</f>
        <v>131231</v>
      </c>
      <c r="M5" s="14">
        <f t="shared" si="1"/>
        <v>1263</v>
      </c>
      <c r="N5" s="27">
        <v>0</v>
      </c>
      <c r="Q5" s="17">
        <f t="shared" si="2"/>
        <v>0</v>
      </c>
    </row>
    <row r="6" spans="1:17" s="28" customFormat="1" ht="75" x14ac:dyDescent="0.25">
      <c r="A6" s="9">
        <v>7</v>
      </c>
      <c r="B6" s="39">
        <v>100025</v>
      </c>
      <c r="C6" s="40" t="s">
        <v>32</v>
      </c>
      <c r="D6" s="41" t="s">
        <v>33</v>
      </c>
      <c r="E6" s="364">
        <v>3</v>
      </c>
      <c r="F6" s="38" t="s">
        <v>31</v>
      </c>
      <c r="G6" s="124" t="s">
        <v>23</v>
      </c>
      <c r="H6" s="38">
        <v>1860000</v>
      </c>
      <c r="I6" s="100">
        <f t="shared" si="0"/>
        <v>1860000</v>
      </c>
      <c r="J6" s="38">
        <v>0</v>
      </c>
      <c r="K6" s="42">
        <v>558000</v>
      </c>
      <c r="L6" s="43">
        <f>558000</f>
        <v>558000</v>
      </c>
      <c r="M6" s="14">
        <f t="shared" si="1"/>
        <v>1302000</v>
      </c>
      <c r="N6" s="27">
        <f>M6-558000</f>
        <v>744000</v>
      </c>
      <c r="Q6" s="17">
        <f t="shared" si="2"/>
        <v>0</v>
      </c>
    </row>
    <row r="7" spans="1:17" ht="45" x14ac:dyDescent="0.25">
      <c r="A7" s="9">
        <v>8</v>
      </c>
      <c r="B7" s="29">
        <v>100030</v>
      </c>
      <c r="C7" s="29" t="s">
        <v>34</v>
      </c>
      <c r="D7" s="29" t="s">
        <v>35</v>
      </c>
      <c r="E7" s="206">
        <v>3</v>
      </c>
      <c r="F7" s="38" t="s">
        <v>31</v>
      </c>
      <c r="G7" s="88" t="s">
        <v>23</v>
      </c>
      <c r="H7" s="22">
        <v>475000</v>
      </c>
      <c r="I7" s="100">
        <f t="shared" si="0"/>
        <v>167000</v>
      </c>
      <c r="J7" s="22">
        <v>308000</v>
      </c>
      <c r="K7" s="22">
        <f>25000</f>
        <v>25000</v>
      </c>
      <c r="L7" s="54">
        <f>142000+25000</f>
        <v>167000</v>
      </c>
      <c r="M7" s="14">
        <f t="shared" si="1"/>
        <v>0</v>
      </c>
      <c r="N7" s="27">
        <f>25000</f>
        <v>25000</v>
      </c>
      <c r="O7" s="28"/>
      <c r="P7" s="28"/>
      <c r="Q7" s="17">
        <f t="shared" si="2"/>
        <v>-142000</v>
      </c>
    </row>
    <row r="8" spans="1:17" s="48" customFormat="1" ht="45" x14ac:dyDescent="0.25">
      <c r="A8" s="9">
        <v>16</v>
      </c>
      <c r="B8" s="20">
        <v>100055</v>
      </c>
      <c r="C8" s="21" t="s">
        <v>52</v>
      </c>
      <c r="D8" s="55" t="s">
        <v>53</v>
      </c>
      <c r="E8" s="386">
        <v>3</v>
      </c>
      <c r="F8" s="38" t="s">
        <v>31</v>
      </c>
      <c r="G8" s="126" t="s">
        <v>23</v>
      </c>
      <c r="H8" s="22">
        <v>75000</v>
      </c>
      <c r="I8" s="100">
        <f t="shared" si="0"/>
        <v>75000</v>
      </c>
      <c r="J8" s="22">
        <v>0</v>
      </c>
      <c r="K8" s="27">
        <f>50000</f>
        <v>50000</v>
      </c>
      <c r="L8" s="31">
        <f>50000</f>
        <v>50000</v>
      </c>
      <c r="M8" s="14">
        <f t="shared" si="1"/>
        <v>25000</v>
      </c>
      <c r="N8" s="27">
        <f>M8</f>
        <v>25000</v>
      </c>
      <c r="O8" s="6"/>
      <c r="P8" s="6"/>
      <c r="Q8" s="17">
        <f t="shared" si="2"/>
        <v>0</v>
      </c>
    </row>
    <row r="9" spans="1:17" s="48" customFormat="1" ht="60" x14ac:dyDescent="0.25">
      <c r="A9" s="9">
        <v>18</v>
      </c>
      <c r="B9" s="20">
        <v>100057</v>
      </c>
      <c r="C9" s="55" t="s">
        <v>56</v>
      </c>
      <c r="D9" s="55" t="s">
        <v>57</v>
      </c>
      <c r="E9" s="386">
        <v>3</v>
      </c>
      <c r="F9" s="38" t="s">
        <v>31</v>
      </c>
      <c r="G9" s="121" t="s">
        <v>23</v>
      </c>
      <c r="H9" s="22">
        <v>475000</v>
      </c>
      <c r="I9" s="100">
        <f t="shared" si="0"/>
        <v>475000</v>
      </c>
      <c r="J9" s="22">
        <v>0</v>
      </c>
      <c r="K9" s="27">
        <f>150000</f>
        <v>150000</v>
      </c>
      <c r="L9" s="31">
        <f>150000</f>
        <v>150000</v>
      </c>
      <c r="M9" s="14">
        <f t="shared" si="1"/>
        <v>325000</v>
      </c>
      <c r="N9" s="27">
        <f>50000</f>
        <v>50000</v>
      </c>
      <c r="O9" s="6"/>
      <c r="P9" s="6"/>
      <c r="Q9" s="17">
        <f t="shared" si="2"/>
        <v>0</v>
      </c>
    </row>
    <row r="10" spans="1:17" ht="45" x14ac:dyDescent="0.25">
      <c r="A10" s="9">
        <v>20</v>
      </c>
      <c r="B10" s="20">
        <v>100061</v>
      </c>
      <c r="C10" s="55" t="s">
        <v>60</v>
      </c>
      <c r="D10" s="55" t="s">
        <v>61</v>
      </c>
      <c r="E10" s="386">
        <v>3</v>
      </c>
      <c r="F10" s="38" t="s">
        <v>17</v>
      </c>
      <c r="G10" s="126" t="s">
        <v>23</v>
      </c>
      <c r="H10" s="22">
        <v>50000</v>
      </c>
      <c r="I10" s="100">
        <f t="shared" si="0"/>
        <v>50000</v>
      </c>
      <c r="J10" s="22">
        <v>0</v>
      </c>
      <c r="K10" s="27">
        <f>25000+25000</f>
        <v>50000</v>
      </c>
      <c r="L10" s="31">
        <f>25000+25000</f>
        <v>50000</v>
      </c>
      <c r="M10" s="14">
        <f t="shared" si="1"/>
        <v>0</v>
      </c>
      <c r="N10" s="27">
        <f>M10</f>
        <v>0</v>
      </c>
      <c r="Q10" s="17">
        <f t="shared" si="2"/>
        <v>0</v>
      </c>
    </row>
    <row r="11" spans="1:17" ht="60" x14ac:dyDescent="0.25">
      <c r="A11" s="9">
        <v>24</v>
      </c>
      <c r="B11" s="20">
        <v>100068</v>
      </c>
      <c r="C11" s="47" t="s">
        <v>74</v>
      </c>
      <c r="D11" s="60" t="s">
        <v>75</v>
      </c>
      <c r="E11" s="376">
        <v>3</v>
      </c>
      <c r="F11" s="38" t="s">
        <v>17</v>
      </c>
      <c r="G11" s="129" t="s">
        <v>23</v>
      </c>
      <c r="H11" s="22">
        <v>200000</v>
      </c>
      <c r="I11" s="100">
        <f t="shared" si="0"/>
        <v>200000</v>
      </c>
      <c r="J11" s="22">
        <v>0</v>
      </c>
      <c r="K11" s="27">
        <f>100000+100000</f>
        <v>200000</v>
      </c>
      <c r="L11" s="31">
        <f>100000+100000</f>
        <v>200000</v>
      </c>
      <c r="M11" s="14">
        <f t="shared" si="1"/>
        <v>0</v>
      </c>
      <c r="N11" s="27">
        <f>M11</f>
        <v>0</v>
      </c>
      <c r="O11" s="62"/>
      <c r="P11" s="62"/>
      <c r="Q11" s="17">
        <f t="shared" si="2"/>
        <v>0</v>
      </c>
    </row>
    <row r="12" spans="1:17" ht="30" x14ac:dyDescent="0.25">
      <c r="A12" s="9">
        <v>32</v>
      </c>
      <c r="B12" s="20">
        <v>1617100003</v>
      </c>
      <c r="C12" s="20" t="s">
        <v>88</v>
      </c>
      <c r="D12" s="29" t="s">
        <v>89</v>
      </c>
      <c r="E12" s="206">
        <v>3</v>
      </c>
      <c r="F12" s="38" t="s">
        <v>20</v>
      </c>
      <c r="G12" s="88" t="s">
        <v>23</v>
      </c>
      <c r="H12" s="22">
        <v>45085</v>
      </c>
      <c r="I12" s="100">
        <f t="shared" si="0"/>
        <v>45085</v>
      </c>
      <c r="J12" s="22">
        <v>0</v>
      </c>
      <c r="K12" s="27">
        <f>45085</f>
        <v>45085</v>
      </c>
      <c r="L12" s="31">
        <f>45085</f>
        <v>45085</v>
      </c>
      <c r="M12" s="14">
        <f t="shared" si="1"/>
        <v>0</v>
      </c>
      <c r="N12" s="27">
        <f>M12</f>
        <v>0</v>
      </c>
      <c r="O12" s="62"/>
      <c r="P12" s="62"/>
      <c r="Q12" s="17">
        <f t="shared" si="2"/>
        <v>0</v>
      </c>
    </row>
    <row r="13" spans="1:17" ht="75" x14ac:dyDescent="0.25">
      <c r="A13" s="9">
        <v>39</v>
      </c>
      <c r="B13" s="67">
        <v>1617100015</v>
      </c>
      <c r="C13" s="67" t="s">
        <v>103</v>
      </c>
      <c r="D13" s="67" t="s">
        <v>104</v>
      </c>
      <c r="E13" s="353">
        <v>3</v>
      </c>
      <c r="F13" s="38" t="s">
        <v>31</v>
      </c>
      <c r="G13" s="138" t="s">
        <v>23</v>
      </c>
      <c r="H13" s="73">
        <v>50000</v>
      </c>
      <c r="I13" s="100">
        <f t="shared" si="0"/>
        <v>50000</v>
      </c>
      <c r="J13" s="38">
        <v>0</v>
      </c>
      <c r="K13" s="42">
        <f>25000+25000</f>
        <v>50000</v>
      </c>
      <c r="L13" s="43">
        <f>25000+25000</f>
        <v>50000</v>
      </c>
      <c r="M13" s="14">
        <f t="shared" si="1"/>
        <v>0</v>
      </c>
      <c r="N13" s="27">
        <f>M13</f>
        <v>0</v>
      </c>
      <c r="O13" s="62"/>
      <c r="P13" s="62"/>
      <c r="Q13" s="17">
        <f t="shared" si="2"/>
        <v>0</v>
      </c>
    </row>
    <row r="14" spans="1:17" ht="150" x14ac:dyDescent="0.25">
      <c r="A14" s="9">
        <v>40</v>
      </c>
      <c r="B14" s="67">
        <v>1617100017</v>
      </c>
      <c r="C14" s="67" t="s">
        <v>108</v>
      </c>
      <c r="D14" s="67" t="s">
        <v>109</v>
      </c>
      <c r="E14" s="353">
        <v>3</v>
      </c>
      <c r="F14" s="38" t="s">
        <v>20</v>
      </c>
      <c r="G14" s="138" t="s">
        <v>23</v>
      </c>
      <c r="H14" s="68">
        <v>100000</v>
      </c>
      <c r="I14" s="100">
        <f t="shared" si="0"/>
        <v>100000</v>
      </c>
      <c r="J14" s="38">
        <v>0</v>
      </c>
      <c r="K14" s="42">
        <v>90000</v>
      </c>
      <c r="L14" s="43">
        <f>90000</f>
        <v>90000</v>
      </c>
      <c r="M14" s="14">
        <f t="shared" si="1"/>
        <v>10000</v>
      </c>
      <c r="N14" s="27">
        <v>0</v>
      </c>
      <c r="O14" s="66"/>
      <c r="P14" s="66"/>
      <c r="Q14" s="17">
        <f t="shared" si="2"/>
        <v>0</v>
      </c>
    </row>
    <row r="15" spans="1:17" s="57" customFormat="1" ht="75" x14ac:dyDescent="0.25">
      <c r="A15" s="9">
        <v>42</v>
      </c>
      <c r="B15" s="67">
        <v>1617100020</v>
      </c>
      <c r="C15" s="67" t="s">
        <v>115</v>
      </c>
      <c r="D15" s="67" t="s">
        <v>116</v>
      </c>
      <c r="E15" s="353">
        <v>3</v>
      </c>
      <c r="F15" s="42" t="s">
        <v>17</v>
      </c>
      <c r="G15" s="138" t="s">
        <v>23</v>
      </c>
      <c r="H15" s="68">
        <v>5450</v>
      </c>
      <c r="I15" s="100">
        <f t="shared" si="0"/>
        <v>5450</v>
      </c>
      <c r="J15" s="42">
        <v>0</v>
      </c>
      <c r="K15" s="42">
        <v>5450</v>
      </c>
      <c r="L15" s="43">
        <f>5450</f>
        <v>5450</v>
      </c>
      <c r="M15" s="14">
        <f t="shared" si="1"/>
        <v>0</v>
      </c>
      <c r="N15" s="27">
        <f>M15</f>
        <v>0</v>
      </c>
      <c r="O15" s="62"/>
      <c r="P15" s="62"/>
      <c r="Q15" s="17">
        <f t="shared" si="2"/>
        <v>0</v>
      </c>
    </row>
    <row r="16" spans="1:17" ht="90" x14ac:dyDescent="0.25">
      <c r="A16" s="9">
        <v>43</v>
      </c>
      <c r="B16" s="67">
        <v>1617100021</v>
      </c>
      <c r="C16" s="67" t="s">
        <v>117</v>
      </c>
      <c r="D16" s="67" t="s">
        <v>118</v>
      </c>
      <c r="E16" s="353">
        <v>3</v>
      </c>
      <c r="F16" s="38" t="s">
        <v>31</v>
      </c>
      <c r="G16" s="138" t="s">
        <v>23</v>
      </c>
      <c r="H16" s="68">
        <v>400000</v>
      </c>
      <c r="I16" s="100">
        <f t="shared" si="0"/>
        <v>400000</v>
      </c>
      <c r="J16" s="38">
        <v>0</v>
      </c>
      <c r="K16" s="42">
        <v>200000</v>
      </c>
      <c r="L16" s="43">
        <f>200000</f>
        <v>200000</v>
      </c>
      <c r="M16" s="14">
        <f t="shared" si="1"/>
        <v>200000</v>
      </c>
      <c r="N16" s="27">
        <f>M16</f>
        <v>200000</v>
      </c>
      <c r="O16" s="66"/>
      <c r="P16" s="66"/>
      <c r="Q16" s="17">
        <f t="shared" si="2"/>
        <v>0</v>
      </c>
    </row>
    <row r="17" spans="1:17" ht="60" x14ac:dyDescent="0.25">
      <c r="A17" s="9">
        <v>48</v>
      </c>
      <c r="B17" s="79">
        <v>1617100032</v>
      </c>
      <c r="C17" s="75" t="s">
        <v>131</v>
      </c>
      <c r="D17" s="52" t="s">
        <v>132</v>
      </c>
      <c r="E17" s="93">
        <v>3</v>
      </c>
      <c r="F17" s="76" t="s">
        <v>17</v>
      </c>
      <c r="G17" s="134" t="s">
        <v>23</v>
      </c>
      <c r="H17" s="52">
        <v>92480</v>
      </c>
      <c r="I17" s="100">
        <f t="shared" si="0"/>
        <v>92480</v>
      </c>
      <c r="J17" s="42">
        <v>0</v>
      </c>
      <c r="K17" s="42">
        <v>92480</v>
      </c>
      <c r="L17" s="43">
        <f>92480</f>
        <v>92480</v>
      </c>
      <c r="M17" s="14">
        <f t="shared" si="1"/>
        <v>0</v>
      </c>
      <c r="N17" s="27">
        <f>M17</f>
        <v>0</v>
      </c>
      <c r="O17" s="62"/>
      <c r="P17" s="62"/>
      <c r="Q17" s="17">
        <f t="shared" si="2"/>
        <v>0</v>
      </c>
    </row>
    <row r="18" spans="1:17" ht="120" x14ac:dyDescent="0.25">
      <c r="A18" s="9">
        <v>54</v>
      </c>
      <c r="B18" s="82">
        <v>1617100042</v>
      </c>
      <c r="C18" s="82" t="s">
        <v>143</v>
      </c>
      <c r="D18" s="83" t="s">
        <v>144</v>
      </c>
      <c r="E18" s="387">
        <v>3</v>
      </c>
      <c r="F18" s="59" t="s">
        <v>17</v>
      </c>
      <c r="G18" s="133" t="s">
        <v>23</v>
      </c>
      <c r="H18" s="79">
        <v>250000</v>
      </c>
      <c r="I18" s="100">
        <f t="shared" si="0"/>
        <v>250000</v>
      </c>
      <c r="J18" s="59">
        <v>0</v>
      </c>
      <c r="K18" s="59">
        <v>225000</v>
      </c>
      <c r="L18" s="74">
        <v>225000</v>
      </c>
      <c r="M18" s="14">
        <f t="shared" si="1"/>
        <v>25000</v>
      </c>
      <c r="N18" s="27">
        <v>0</v>
      </c>
      <c r="O18" s="66"/>
      <c r="P18" s="66"/>
      <c r="Q18" s="17">
        <f t="shared" si="2"/>
        <v>0</v>
      </c>
    </row>
    <row r="19" spans="1:17" ht="105" x14ac:dyDescent="0.25">
      <c r="A19" s="93">
        <v>47</v>
      </c>
      <c r="B19" s="131">
        <v>1617200010</v>
      </c>
      <c r="C19" s="195" t="s">
        <v>295</v>
      </c>
      <c r="D19" s="190" t="s">
        <v>296</v>
      </c>
      <c r="E19" s="356">
        <v>4</v>
      </c>
      <c r="F19" s="72" t="s">
        <v>31</v>
      </c>
      <c r="G19" s="52" t="s">
        <v>23</v>
      </c>
      <c r="H19" s="72">
        <v>500000</v>
      </c>
      <c r="I19" s="158">
        <f t="shared" si="0"/>
        <v>500000</v>
      </c>
      <c r="J19" s="72">
        <v>0</v>
      </c>
      <c r="K19" s="162">
        <v>250000</v>
      </c>
      <c r="L19" s="163">
        <v>250000</v>
      </c>
      <c r="M19" s="215">
        <f t="shared" si="1"/>
        <v>250000</v>
      </c>
      <c r="N19" s="162">
        <f>M19</f>
        <v>250000</v>
      </c>
    </row>
    <row r="20" spans="1:17" ht="30" x14ac:dyDescent="0.25">
      <c r="A20" s="9">
        <v>9</v>
      </c>
      <c r="B20" s="20">
        <v>100032</v>
      </c>
      <c r="C20" s="29" t="s">
        <v>36</v>
      </c>
      <c r="D20" s="29" t="s">
        <v>37</v>
      </c>
      <c r="E20" s="206">
        <v>5</v>
      </c>
      <c r="F20" s="38" t="s">
        <v>31</v>
      </c>
      <c r="G20" s="88" t="s">
        <v>38</v>
      </c>
      <c r="H20" s="25">
        <v>498750</v>
      </c>
      <c r="I20" s="100">
        <f t="shared" si="0"/>
        <v>198750</v>
      </c>
      <c r="J20" s="25">
        <v>300000</v>
      </c>
      <c r="K20" s="44">
        <f>26250+37500</f>
        <v>63750</v>
      </c>
      <c r="L20" s="45">
        <f>26250+37500</f>
        <v>63750</v>
      </c>
      <c r="M20" s="14">
        <f t="shared" si="1"/>
        <v>135000</v>
      </c>
      <c r="N20" s="27">
        <v>0</v>
      </c>
      <c r="O20" s="46"/>
      <c r="Q20" s="17">
        <f t="shared" ref="Q20:Q51" si="3">K20-L20</f>
        <v>0</v>
      </c>
    </row>
    <row r="21" spans="1:17" ht="45" x14ac:dyDescent="0.25">
      <c r="A21" s="9">
        <v>13</v>
      </c>
      <c r="B21" s="20">
        <v>100042</v>
      </c>
      <c r="C21" s="20" t="s">
        <v>45</v>
      </c>
      <c r="D21" s="29" t="s">
        <v>46</v>
      </c>
      <c r="E21" s="206">
        <v>5</v>
      </c>
      <c r="F21" s="38" t="s">
        <v>31</v>
      </c>
      <c r="G21" s="121" t="s">
        <v>38</v>
      </c>
      <c r="H21" s="22">
        <v>221000</v>
      </c>
      <c r="I21" s="100">
        <f t="shared" si="0"/>
        <v>221000</v>
      </c>
      <c r="J21" s="22">
        <v>0</v>
      </c>
      <c r="K21" s="53">
        <f>110500</f>
        <v>110500</v>
      </c>
      <c r="L21" s="54">
        <f>110500</f>
        <v>110500</v>
      </c>
      <c r="M21" s="14">
        <f t="shared" si="1"/>
        <v>110500</v>
      </c>
      <c r="N21" s="27">
        <v>0</v>
      </c>
      <c r="O21" s="46" t="s">
        <v>47</v>
      </c>
      <c r="Q21" s="17">
        <f t="shared" si="3"/>
        <v>0</v>
      </c>
    </row>
    <row r="22" spans="1:17" ht="60" x14ac:dyDescent="0.25">
      <c r="A22" s="9">
        <v>21</v>
      </c>
      <c r="B22" s="39">
        <v>100062</v>
      </c>
      <c r="C22" s="55" t="s">
        <v>62</v>
      </c>
      <c r="D22" s="55" t="s">
        <v>63</v>
      </c>
      <c r="E22" s="386">
        <v>5</v>
      </c>
      <c r="F22" s="42" t="s">
        <v>31</v>
      </c>
      <c r="G22" s="126" t="s">
        <v>38</v>
      </c>
      <c r="H22" s="27">
        <v>167000</v>
      </c>
      <c r="I22" s="100">
        <f t="shared" si="0"/>
        <v>167000</v>
      </c>
      <c r="J22" s="27">
        <v>0</v>
      </c>
      <c r="K22" s="27">
        <f>88750+17000+18000+6500</f>
        <v>130250</v>
      </c>
      <c r="L22" s="31">
        <f>45750+33000+10000+18000+17000+6500</f>
        <v>130250</v>
      </c>
      <c r="M22" s="14">
        <f t="shared" si="1"/>
        <v>36750</v>
      </c>
      <c r="N22" s="27">
        <f>M22</f>
        <v>36750</v>
      </c>
      <c r="Q22" s="17">
        <f t="shared" si="3"/>
        <v>0</v>
      </c>
    </row>
    <row r="23" spans="1:17" s="62" customFormat="1" ht="75" x14ac:dyDescent="0.25">
      <c r="A23" s="9">
        <v>22</v>
      </c>
      <c r="B23" s="39">
        <v>100065</v>
      </c>
      <c r="C23" s="47" t="s">
        <v>67</v>
      </c>
      <c r="D23" s="60" t="s">
        <v>68</v>
      </c>
      <c r="E23" s="376">
        <v>5</v>
      </c>
      <c r="F23" s="22" t="s">
        <v>17</v>
      </c>
      <c r="G23" s="129" t="s">
        <v>38</v>
      </c>
      <c r="H23" s="22">
        <v>451468</v>
      </c>
      <c r="I23" s="100">
        <f t="shared" si="0"/>
        <v>451468</v>
      </c>
      <c r="J23" s="22">
        <v>0</v>
      </c>
      <c r="K23" s="27">
        <v>450000</v>
      </c>
      <c r="L23" s="31">
        <f>450000</f>
        <v>450000</v>
      </c>
      <c r="M23" s="14">
        <f t="shared" si="1"/>
        <v>1468</v>
      </c>
      <c r="N23" s="27">
        <f>M23</f>
        <v>1468</v>
      </c>
      <c r="O23" s="6"/>
      <c r="P23" s="6"/>
      <c r="Q23" s="17">
        <f t="shared" si="3"/>
        <v>0</v>
      </c>
    </row>
    <row r="24" spans="1:17" s="62" customFormat="1" ht="135" x14ac:dyDescent="0.25">
      <c r="A24" s="9">
        <v>35</v>
      </c>
      <c r="B24" s="67">
        <v>1617100009</v>
      </c>
      <c r="C24" s="67" t="s">
        <v>96</v>
      </c>
      <c r="D24" s="67" t="s">
        <v>97</v>
      </c>
      <c r="E24" s="353">
        <v>5</v>
      </c>
      <c r="F24" s="38" t="s">
        <v>20</v>
      </c>
      <c r="G24" s="138" t="s">
        <v>38</v>
      </c>
      <c r="H24" s="73">
        <v>325000</v>
      </c>
      <c r="I24" s="100">
        <f t="shared" si="0"/>
        <v>325000</v>
      </c>
      <c r="J24" s="38">
        <v>0</v>
      </c>
      <c r="K24" s="42">
        <f>50658+62200+206050+4400</f>
        <v>323308</v>
      </c>
      <c r="L24" s="43">
        <f>50658+62200+206050+4400</f>
        <v>323308</v>
      </c>
      <c r="M24" s="14">
        <f t="shared" si="1"/>
        <v>1692</v>
      </c>
      <c r="N24" s="27">
        <f>M24</f>
        <v>1692</v>
      </c>
      <c r="Q24" s="17">
        <f t="shared" si="3"/>
        <v>0</v>
      </c>
    </row>
    <row r="25" spans="1:17" s="62" customFormat="1" ht="30" x14ac:dyDescent="0.25">
      <c r="A25" s="9">
        <v>36</v>
      </c>
      <c r="B25" s="67">
        <v>1617100011</v>
      </c>
      <c r="C25" s="67" t="s">
        <v>98</v>
      </c>
      <c r="D25" s="67" t="s">
        <v>99</v>
      </c>
      <c r="E25" s="353">
        <v>5</v>
      </c>
      <c r="F25" s="38" t="s">
        <v>17</v>
      </c>
      <c r="G25" s="138" t="s">
        <v>38</v>
      </c>
      <c r="H25" s="73">
        <v>200000</v>
      </c>
      <c r="I25" s="100">
        <f t="shared" si="0"/>
        <v>200000</v>
      </c>
      <c r="J25" s="38">
        <v>0</v>
      </c>
      <c r="K25" s="42">
        <v>200000</v>
      </c>
      <c r="L25" s="43">
        <v>200000</v>
      </c>
      <c r="M25" s="14">
        <f t="shared" si="1"/>
        <v>0</v>
      </c>
      <c r="N25" s="27">
        <f>M25</f>
        <v>0</v>
      </c>
      <c r="Q25" s="17">
        <f t="shared" si="3"/>
        <v>0</v>
      </c>
    </row>
    <row r="26" spans="1:17" s="62" customFormat="1" ht="30" x14ac:dyDescent="0.25">
      <c r="A26" s="9">
        <v>41</v>
      </c>
      <c r="B26" s="67">
        <v>1617100018</v>
      </c>
      <c r="C26" s="67" t="s">
        <v>110</v>
      </c>
      <c r="D26" s="67" t="s">
        <v>111</v>
      </c>
      <c r="E26" s="353">
        <v>5</v>
      </c>
      <c r="F26" s="38" t="s">
        <v>112</v>
      </c>
      <c r="G26" s="138" t="s">
        <v>38</v>
      </c>
      <c r="H26" s="73">
        <v>241240</v>
      </c>
      <c r="I26" s="100">
        <f t="shared" si="0"/>
        <v>241240</v>
      </c>
      <c r="J26" s="38">
        <v>0</v>
      </c>
      <c r="K26" s="42">
        <v>240000</v>
      </c>
      <c r="L26" s="43">
        <f>240000</f>
        <v>240000</v>
      </c>
      <c r="M26" s="14">
        <f t="shared" si="1"/>
        <v>1240</v>
      </c>
      <c r="N26" s="27">
        <v>0</v>
      </c>
      <c r="Q26" s="17">
        <f t="shared" si="3"/>
        <v>0</v>
      </c>
    </row>
    <row r="27" spans="1:17" s="62" customFormat="1" ht="75" x14ac:dyDescent="0.25">
      <c r="A27" s="9">
        <v>47</v>
      </c>
      <c r="B27" s="79">
        <v>1617100030</v>
      </c>
      <c r="C27" s="75" t="s">
        <v>128</v>
      </c>
      <c r="D27" s="79" t="s">
        <v>129</v>
      </c>
      <c r="E27" s="167">
        <v>5</v>
      </c>
      <c r="F27" s="76" t="s">
        <v>31</v>
      </c>
      <c r="G27" s="134" t="s">
        <v>38</v>
      </c>
      <c r="H27" s="59">
        <v>300000</v>
      </c>
      <c r="I27" s="100">
        <f t="shared" si="0"/>
        <v>300000</v>
      </c>
      <c r="J27" s="76">
        <v>0</v>
      </c>
      <c r="K27" s="76">
        <v>180000</v>
      </c>
      <c r="L27" s="77">
        <f>180000</f>
        <v>180000</v>
      </c>
      <c r="M27" s="14">
        <f t="shared" si="1"/>
        <v>120000</v>
      </c>
      <c r="N27" s="27">
        <f>M27</f>
        <v>120000</v>
      </c>
      <c r="O27" s="63" t="s">
        <v>130</v>
      </c>
      <c r="Q27" s="17">
        <f t="shared" si="3"/>
        <v>0</v>
      </c>
    </row>
    <row r="28" spans="1:17" s="62" customFormat="1" ht="45" x14ac:dyDescent="0.25">
      <c r="A28" s="9">
        <v>10</v>
      </c>
      <c r="B28" s="29">
        <v>100035</v>
      </c>
      <c r="C28" s="29" t="s">
        <v>39</v>
      </c>
      <c r="D28" s="47" t="s">
        <v>40</v>
      </c>
      <c r="E28" s="377">
        <v>6</v>
      </c>
      <c r="F28" s="38" t="s">
        <v>31</v>
      </c>
      <c r="G28" s="125" t="s">
        <v>26</v>
      </c>
      <c r="H28" s="23">
        <v>478000</v>
      </c>
      <c r="I28" s="100">
        <f t="shared" si="0"/>
        <v>328000</v>
      </c>
      <c r="J28" s="22">
        <v>150000</v>
      </c>
      <c r="K28" s="27">
        <f>150000+150000</f>
        <v>300000</v>
      </c>
      <c r="L28" s="31">
        <f>150000+150000</f>
        <v>300000</v>
      </c>
      <c r="M28" s="14">
        <f t="shared" si="1"/>
        <v>28000</v>
      </c>
      <c r="N28" s="27">
        <f>M28</f>
        <v>28000</v>
      </c>
      <c r="O28" s="48"/>
      <c r="P28" s="48"/>
      <c r="Q28" s="17">
        <f t="shared" si="3"/>
        <v>0</v>
      </c>
    </row>
    <row r="29" spans="1:17" s="62" customFormat="1" ht="75" x14ac:dyDescent="0.25">
      <c r="A29" s="9">
        <v>55</v>
      </c>
      <c r="B29" s="82">
        <v>1617100044</v>
      </c>
      <c r="C29" s="75" t="s">
        <v>147</v>
      </c>
      <c r="D29" s="75" t="s">
        <v>148</v>
      </c>
      <c r="E29" s="358">
        <v>6</v>
      </c>
      <c r="F29" s="59" t="s">
        <v>17</v>
      </c>
      <c r="G29" s="133" t="s">
        <v>26</v>
      </c>
      <c r="H29" s="79">
        <v>25000</v>
      </c>
      <c r="I29" s="100">
        <f t="shared" si="0"/>
        <v>25000</v>
      </c>
      <c r="J29" s="59">
        <v>0</v>
      </c>
      <c r="K29" s="59">
        <v>25000</v>
      </c>
      <c r="L29" s="74">
        <f>25000</f>
        <v>25000</v>
      </c>
      <c r="M29" s="14">
        <f t="shared" si="1"/>
        <v>0</v>
      </c>
      <c r="N29" s="27">
        <f>M29</f>
        <v>0</v>
      </c>
      <c r="O29" s="66"/>
      <c r="P29" s="66"/>
      <c r="Q29" s="17">
        <f t="shared" si="3"/>
        <v>0</v>
      </c>
    </row>
    <row r="30" spans="1:17" s="62" customFormat="1" ht="15" x14ac:dyDescent="0.25">
      <c r="A30" s="9">
        <v>52</v>
      </c>
      <c r="B30" s="79">
        <v>100069</v>
      </c>
      <c r="C30" s="80" t="s">
        <v>140</v>
      </c>
      <c r="D30" s="58" t="s">
        <v>141</v>
      </c>
      <c r="E30" s="378">
        <v>6</v>
      </c>
      <c r="F30" s="59" t="s">
        <v>31</v>
      </c>
      <c r="G30" s="133" t="s">
        <v>26</v>
      </c>
      <c r="H30" s="81">
        <v>3000000</v>
      </c>
      <c r="I30" s="100">
        <f t="shared" si="0"/>
        <v>3000000</v>
      </c>
      <c r="J30" s="59">
        <v>0</v>
      </c>
      <c r="K30" s="59"/>
      <c r="L30" s="74">
        <v>1200000</v>
      </c>
      <c r="M30" s="14">
        <f t="shared" si="1"/>
        <v>1800000</v>
      </c>
      <c r="N30" s="27"/>
      <c r="O30" s="66"/>
      <c r="P30" s="66"/>
      <c r="Q30" s="17">
        <f t="shared" si="3"/>
        <v>-1200000</v>
      </c>
    </row>
    <row r="31" spans="1:17" s="62" customFormat="1" ht="75" x14ac:dyDescent="0.25">
      <c r="A31" s="9">
        <v>53</v>
      </c>
      <c r="B31" s="82">
        <v>1617100041</v>
      </c>
      <c r="C31" s="82" t="s">
        <v>140</v>
      </c>
      <c r="D31" s="80" t="s">
        <v>142</v>
      </c>
      <c r="E31" s="378">
        <v>6</v>
      </c>
      <c r="F31" s="59" t="s">
        <v>17</v>
      </c>
      <c r="G31" s="133" t="s">
        <v>26</v>
      </c>
      <c r="H31" s="79">
        <v>388367</v>
      </c>
      <c r="I31" s="100">
        <f t="shared" si="0"/>
        <v>388367</v>
      </c>
      <c r="J31" s="59">
        <v>0</v>
      </c>
      <c r="K31" s="59">
        <v>388367</v>
      </c>
      <c r="L31" s="74">
        <v>388367</v>
      </c>
      <c r="M31" s="14">
        <f t="shared" si="1"/>
        <v>0</v>
      </c>
      <c r="N31" s="27">
        <f>M31</f>
        <v>0</v>
      </c>
      <c r="O31" s="66"/>
      <c r="P31" s="66"/>
      <c r="Q31" s="17">
        <f t="shared" si="3"/>
        <v>0</v>
      </c>
    </row>
    <row r="32" spans="1:17" s="62" customFormat="1" ht="75" x14ac:dyDescent="0.25">
      <c r="A32" s="9">
        <v>15</v>
      </c>
      <c r="B32" s="20">
        <v>100053</v>
      </c>
      <c r="C32" s="29" t="s">
        <v>50</v>
      </c>
      <c r="D32" s="21" t="s">
        <v>51</v>
      </c>
      <c r="E32" s="378">
        <v>6</v>
      </c>
      <c r="F32" s="38" t="s">
        <v>31</v>
      </c>
      <c r="G32" s="122" t="s">
        <v>26</v>
      </c>
      <c r="H32" s="22">
        <v>1032000</v>
      </c>
      <c r="I32" s="100">
        <f t="shared" si="0"/>
        <v>1032000</v>
      </c>
      <c r="J32" s="22">
        <v>0</v>
      </c>
      <c r="K32" s="27">
        <f>500000</f>
        <v>500000</v>
      </c>
      <c r="L32" s="31">
        <f>500000</f>
        <v>500000</v>
      </c>
      <c r="M32" s="14">
        <f t="shared" si="1"/>
        <v>532000</v>
      </c>
      <c r="N32" s="27">
        <v>0</v>
      </c>
      <c r="O32" s="6"/>
      <c r="P32" s="6"/>
      <c r="Q32" s="17">
        <f t="shared" si="3"/>
        <v>0</v>
      </c>
    </row>
    <row r="33" spans="1:17" s="62" customFormat="1" ht="45" x14ac:dyDescent="0.25">
      <c r="A33" s="9">
        <v>70</v>
      </c>
      <c r="B33" s="20">
        <v>100031</v>
      </c>
      <c r="C33" s="20" t="s">
        <v>181</v>
      </c>
      <c r="D33" s="29" t="s">
        <v>182</v>
      </c>
      <c r="E33" s="378">
        <v>6</v>
      </c>
      <c r="F33" s="38" t="s">
        <v>31</v>
      </c>
      <c r="G33" s="88" t="s">
        <v>26</v>
      </c>
      <c r="H33" s="22">
        <v>6040000</v>
      </c>
      <c r="I33" s="100">
        <f t="shared" si="0"/>
        <v>1510000</v>
      </c>
      <c r="J33" s="22">
        <v>4530000</v>
      </c>
      <c r="K33" s="27">
        <f>960000</f>
        <v>960000</v>
      </c>
      <c r="L33" s="31">
        <v>906000</v>
      </c>
      <c r="M33" s="14">
        <f t="shared" si="1"/>
        <v>604000</v>
      </c>
      <c r="N33" s="27">
        <v>0</v>
      </c>
      <c r="O33" s="28"/>
      <c r="P33" s="28"/>
      <c r="Q33" s="17">
        <f t="shared" si="3"/>
        <v>54000</v>
      </c>
    </row>
    <row r="34" spans="1:17" s="62" customFormat="1" ht="30" x14ac:dyDescent="0.25">
      <c r="A34" s="9">
        <v>71</v>
      </c>
      <c r="B34" s="20" t="s">
        <v>183</v>
      </c>
      <c r="C34" s="20" t="s">
        <v>184</v>
      </c>
      <c r="D34" s="29" t="s">
        <v>185</v>
      </c>
      <c r="E34" s="378">
        <v>6</v>
      </c>
      <c r="F34" s="38" t="s">
        <v>31</v>
      </c>
      <c r="G34" s="88" t="s">
        <v>186</v>
      </c>
      <c r="H34" s="22">
        <v>12340000</v>
      </c>
      <c r="I34" s="100">
        <f t="shared" si="0"/>
        <v>12340000</v>
      </c>
      <c r="J34" s="22">
        <v>0</v>
      </c>
      <c r="K34" s="27">
        <f>1234000+4936000</f>
        <v>6170000</v>
      </c>
      <c r="L34" s="31">
        <f>1234000+4936000</f>
        <v>6170000</v>
      </c>
      <c r="M34" s="14">
        <f t="shared" si="1"/>
        <v>6170000</v>
      </c>
      <c r="N34" s="27">
        <v>0</v>
      </c>
      <c r="O34" s="66"/>
      <c r="P34" s="66"/>
      <c r="Q34" s="17">
        <f t="shared" si="3"/>
        <v>0</v>
      </c>
    </row>
    <row r="35" spans="1:17" s="62" customFormat="1" ht="30" x14ac:dyDescent="0.25">
      <c r="A35" s="9">
        <v>72</v>
      </c>
      <c r="B35" s="20" t="s">
        <v>187</v>
      </c>
      <c r="C35" s="20" t="s">
        <v>181</v>
      </c>
      <c r="D35" s="29" t="s">
        <v>188</v>
      </c>
      <c r="E35" s="378">
        <v>6</v>
      </c>
      <c r="F35" s="22" t="s">
        <v>17</v>
      </c>
      <c r="G35" s="88" t="s">
        <v>26</v>
      </c>
      <c r="H35" s="22">
        <v>1500000</v>
      </c>
      <c r="I35" s="100">
        <f t="shared" si="0"/>
        <v>1500000</v>
      </c>
      <c r="J35" s="22">
        <v>0</v>
      </c>
      <c r="K35" s="27">
        <f>1500000</f>
        <v>1500000</v>
      </c>
      <c r="L35" s="31">
        <f>1500000</f>
        <v>1500000</v>
      </c>
      <c r="M35" s="14">
        <f t="shared" si="1"/>
        <v>0</v>
      </c>
      <c r="N35" s="27">
        <f>M35</f>
        <v>0</v>
      </c>
      <c r="O35" s="50"/>
      <c r="P35" s="50"/>
      <c r="Q35" s="17">
        <f t="shared" si="3"/>
        <v>0</v>
      </c>
    </row>
    <row r="36" spans="1:17" s="62" customFormat="1" ht="45" x14ac:dyDescent="0.25">
      <c r="A36" s="9">
        <v>75</v>
      </c>
      <c r="B36" s="29" t="s">
        <v>194</v>
      </c>
      <c r="C36" s="20" t="s">
        <v>176</v>
      </c>
      <c r="D36" s="29" t="s">
        <v>195</v>
      </c>
      <c r="E36" s="378">
        <v>6</v>
      </c>
      <c r="F36" s="38" t="s">
        <v>20</v>
      </c>
      <c r="G36" s="121" t="s">
        <v>26</v>
      </c>
      <c r="H36" s="22">
        <v>15430</v>
      </c>
      <c r="I36" s="100">
        <f t="shared" ref="I36:I67" si="4">H36-J36</f>
        <v>15430</v>
      </c>
      <c r="J36" s="22">
        <v>0</v>
      </c>
      <c r="K36" s="22">
        <v>15430</v>
      </c>
      <c r="L36" s="31">
        <v>15430</v>
      </c>
      <c r="M36" s="14">
        <f t="shared" ref="M36:M67" si="5">H36-(J36+L36)</f>
        <v>0</v>
      </c>
      <c r="N36" s="27">
        <v>0</v>
      </c>
      <c r="O36" s="6"/>
      <c r="P36" s="6"/>
      <c r="Q36" s="17">
        <f t="shared" si="3"/>
        <v>0</v>
      </c>
    </row>
    <row r="37" spans="1:17" s="62" customFormat="1" ht="30" x14ac:dyDescent="0.25">
      <c r="A37" s="9">
        <v>74</v>
      </c>
      <c r="B37" s="20" t="s">
        <v>192</v>
      </c>
      <c r="C37" s="20" t="s">
        <v>181</v>
      </c>
      <c r="D37" s="29" t="s">
        <v>193</v>
      </c>
      <c r="E37" s="378">
        <v>6</v>
      </c>
      <c r="F37" s="38" t="s">
        <v>31</v>
      </c>
      <c r="G37" s="88" t="s">
        <v>26</v>
      </c>
      <c r="H37" s="22">
        <v>2500000</v>
      </c>
      <c r="I37" s="100">
        <f t="shared" si="4"/>
        <v>2500000</v>
      </c>
      <c r="J37" s="22">
        <v>0</v>
      </c>
      <c r="K37" s="27">
        <v>1250000</v>
      </c>
      <c r="L37" s="31">
        <f>1250000</f>
        <v>1250000</v>
      </c>
      <c r="M37" s="14">
        <f t="shared" si="5"/>
        <v>1250000</v>
      </c>
      <c r="N37" s="27">
        <v>0</v>
      </c>
      <c r="O37" s="6"/>
      <c r="P37" s="6"/>
      <c r="Q37" s="17">
        <f t="shared" si="3"/>
        <v>0</v>
      </c>
    </row>
    <row r="38" spans="1:17" s="66" customFormat="1" ht="60" x14ac:dyDescent="0.25">
      <c r="A38" s="9">
        <v>5</v>
      </c>
      <c r="B38" s="32">
        <v>100022</v>
      </c>
      <c r="C38" s="33" t="s">
        <v>27</v>
      </c>
      <c r="D38" s="34" t="s">
        <v>28</v>
      </c>
      <c r="E38" s="378">
        <v>6</v>
      </c>
      <c r="F38" s="35" t="s">
        <v>17</v>
      </c>
      <c r="G38" s="123" t="s">
        <v>26</v>
      </c>
      <c r="H38" s="36">
        <v>470000</v>
      </c>
      <c r="I38" s="100">
        <f t="shared" si="4"/>
        <v>310000</v>
      </c>
      <c r="J38" s="25">
        <v>160000</v>
      </c>
      <c r="K38" s="25">
        <f>160000+150000</f>
        <v>310000</v>
      </c>
      <c r="L38" s="26">
        <f>160000+150000</f>
        <v>310000</v>
      </c>
      <c r="M38" s="14">
        <f t="shared" si="5"/>
        <v>0</v>
      </c>
      <c r="N38" s="27">
        <f>M38</f>
        <v>0</v>
      </c>
      <c r="O38" s="28"/>
      <c r="P38" s="37"/>
      <c r="Q38" s="17">
        <f t="shared" si="3"/>
        <v>0</v>
      </c>
    </row>
    <row r="39" spans="1:17" s="62" customFormat="1" ht="75" x14ac:dyDescent="0.25">
      <c r="A39" s="9">
        <v>11</v>
      </c>
      <c r="B39" s="29">
        <v>100037</v>
      </c>
      <c r="C39" s="30" t="s">
        <v>41</v>
      </c>
      <c r="D39" s="47" t="s">
        <v>42</v>
      </c>
      <c r="E39" s="378">
        <v>6</v>
      </c>
      <c r="F39" s="38" t="s">
        <v>31</v>
      </c>
      <c r="G39" s="125" t="s">
        <v>26</v>
      </c>
      <c r="H39" s="49">
        <v>497400</v>
      </c>
      <c r="I39" s="100">
        <f t="shared" si="4"/>
        <v>497400</v>
      </c>
      <c r="J39" s="22">
        <v>0</v>
      </c>
      <c r="K39" s="27">
        <f>271480+78689</f>
        <v>350169</v>
      </c>
      <c r="L39" s="31">
        <f>271480+78689</f>
        <v>350169</v>
      </c>
      <c r="M39" s="14">
        <f t="shared" si="5"/>
        <v>147231</v>
      </c>
      <c r="N39" s="27">
        <f>M39/2</f>
        <v>73615.5</v>
      </c>
      <c r="O39" s="50"/>
      <c r="P39" s="48"/>
      <c r="Q39" s="17">
        <f t="shared" si="3"/>
        <v>0</v>
      </c>
    </row>
    <row r="40" spans="1:17" s="62" customFormat="1" ht="60" x14ac:dyDescent="0.25">
      <c r="A40" s="9">
        <v>51</v>
      </c>
      <c r="B40" s="79">
        <v>1617100037</v>
      </c>
      <c r="C40" s="80" t="s">
        <v>138</v>
      </c>
      <c r="D40" s="79" t="s">
        <v>139</v>
      </c>
      <c r="E40" s="378">
        <v>6</v>
      </c>
      <c r="F40" s="59" t="s">
        <v>31</v>
      </c>
      <c r="G40" s="133" t="s">
        <v>26</v>
      </c>
      <c r="H40" s="79">
        <v>467752</v>
      </c>
      <c r="I40" s="100">
        <f t="shared" si="4"/>
        <v>467752</v>
      </c>
      <c r="J40" s="59">
        <v>0</v>
      </c>
      <c r="K40" s="59">
        <v>0</v>
      </c>
      <c r="L40" s="74">
        <v>234000</v>
      </c>
      <c r="M40" s="14">
        <f t="shared" si="5"/>
        <v>233752</v>
      </c>
      <c r="N40" s="27">
        <f>M40/2</f>
        <v>116876</v>
      </c>
      <c r="O40" s="66"/>
      <c r="P40" s="66"/>
      <c r="Q40" s="17">
        <f t="shared" si="3"/>
        <v>-234000</v>
      </c>
    </row>
    <row r="41" spans="1:17" s="62" customFormat="1" ht="105" x14ac:dyDescent="0.25">
      <c r="A41" s="9">
        <v>12</v>
      </c>
      <c r="B41" s="20">
        <v>100040</v>
      </c>
      <c r="C41" s="51" t="s">
        <v>43</v>
      </c>
      <c r="D41" s="21" t="s">
        <v>44</v>
      </c>
      <c r="E41" s="375">
        <v>7</v>
      </c>
      <c r="F41" s="38" t="s">
        <v>31</v>
      </c>
      <c r="G41" s="122" t="s">
        <v>26</v>
      </c>
      <c r="H41" s="22">
        <v>500000</v>
      </c>
      <c r="I41" s="100">
        <f t="shared" si="4"/>
        <v>500000</v>
      </c>
      <c r="J41" s="22">
        <v>0</v>
      </c>
      <c r="K41" s="27">
        <v>250000</v>
      </c>
      <c r="L41" s="31">
        <f>50000*5</f>
        <v>250000</v>
      </c>
      <c r="M41" s="14">
        <f t="shared" si="5"/>
        <v>250000</v>
      </c>
      <c r="N41" s="27">
        <v>0</v>
      </c>
      <c r="O41" s="6"/>
      <c r="P41" s="6"/>
      <c r="Q41" s="17">
        <f t="shared" si="3"/>
        <v>0</v>
      </c>
    </row>
    <row r="42" spans="1:17" s="66" customFormat="1" ht="225" x14ac:dyDescent="0.25">
      <c r="A42" s="9">
        <v>14</v>
      </c>
      <c r="B42" s="20">
        <v>100051</v>
      </c>
      <c r="C42" s="29" t="s">
        <v>48</v>
      </c>
      <c r="D42" s="21" t="s">
        <v>49</v>
      </c>
      <c r="E42" s="375">
        <v>7</v>
      </c>
      <c r="F42" s="38" t="s">
        <v>17</v>
      </c>
      <c r="G42" s="122" t="s">
        <v>26</v>
      </c>
      <c r="H42" s="25">
        <v>475000</v>
      </c>
      <c r="I42" s="100">
        <f t="shared" si="4"/>
        <v>475000</v>
      </c>
      <c r="J42" s="22">
        <v>0</v>
      </c>
      <c r="K42" s="27">
        <f>158000+105000+105000+107000</f>
        <v>475000</v>
      </c>
      <c r="L42" s="31">
        <f>158000+105000+105000+107000</f>
        <v>475000</v>
      </c>
      <c r="M42" s="14">
        <f t="shared" si="5"/>
        <v>0</v>
      </c>
      <c r="N42" s="27">
        <f>M42</f>
        <v>0</v>
      </c>
      <c r="O42" s="6"/>
      <c r="P42" s="6"/>
      <c r="Q42" s="17">
        <f t="shared" si="3"/>
        <v>0</v>
      </c>
    </row>
    <row r="43" spans="1:17" s="62" customFormat="1" ht="60" x14ac:dyDescent="0.25">
      <c r="A43" s="9">
        <v>33</v>
      </c>
      <c r="B43" s="72">
        <v>1617100007</v>
      </c>
      <c r="C43" s="65" t="s">
        <v>92</v>
      </c>
      <c r="D43" s="40" t="s">
        <v>93</v>
      </c>
      <c r="E43" s="342">
        <v>7</v>
      </c>
      <c r="F43" s="38" t="s">
        <v>17</v>
      </c>
      <c r="G43" s="131" t="s">
        <v>26</v>
      </c>
      <c r="H43" s="38">
        <v>70000</v>
      </c>
      <c r="I43" s="100">
        <f t="shared" si="4"/>
        <v>70000</v>
      </c>
      <c r="J43" s="38">
        <v>0</v>
      </c>
      <c r="K43" s="42">
        <f>35000+ 35000</f>
        <v>70000</v>
      </c>
      <c r="L43" s="43">
        <f>35000+35000</f>
        <v>70000</v>
      </c>
      <c r="M43" s="14">
        <f t="shared" si="5"/>
        <v>0</v>
      </c>
      <c r="N43" s="27">
        <f>M43</f>
        <v>0</v>
      </c>
      <c r="Q43" s="17">
        <f t="shared" si="3"/>
        <v>0</v>
      </c>
    </row>
    <row r="44" spans="1:17" s="62" customFormat="1" ht="38.25" x14ac:dyDescent="0.25">
      <c r="A44" s="9">
        <v>38</v>
      </c>
      <c r="B44" s="64">
        <v>1617100014</v>
      </c>
      <c r="C44" s="78" t="s">
        <v>101</v>
      </c>
      <c r="D44" s="99" t="s">
        <v>102</v>
      </c>
      <c r="E44" s="388">
        <v>7</v>
      </c>
      <c r="F44" s="59" t="s">
        <v>31</v>
      </c>
      <c r="G44" s="133" t="s">
        <v>26</v>
      </c>
      <c r="H44" s="59">
        <v>120000</v>
      </c>
      <c r="I44" s="100">
        <f t="shared" si="4"/>
        <v>120000</v>
      </c>
      <c r="J44" s="59">
        <v>0</v>
      </c>
      <c r="K44" s="59">
        <v>40000</v>
      </c>
      <c r="L44" s="74">
        <f>40000</f>
        <v>40000</v>
      </c>
      <c r="M44" s="14">
        <f t="shared" si="5"/>
        <v>80000</v>
      </c>
      <c r="N44" s="27">
        <v>0</v>
      </c>
      <c r="Q44" s="17">
        <f t="shared" si="3"/>
        <v>0</v>
      </c>
    </row>
    <row r="45" spans="1:17" s="62" customFormat="1" ht="178.5" x14ac:dyDescent="0.25">
      <c r="A45" s="9">
        <v>44</v>
      </c>
      <c r="B45" s="64">
        <v>1617100022</v>
      </c>
      <c r="C45" s="78" t="s">
        <v>48</v>
      </c>
      <c r="D45" s="99" t="s">
        <v>119</v>
      </c>
      <c r="E45" s="388">
        <v>7</v>
      </c>
      <c r="F45" s="59" t="s">
        <v>31</v>
      </c>
      <c r="G45" s="133" t="s">
        <v>26</v>
      </c>
      <c r="H45" s="59">
        <v>460000</v>
      </c>
      <c r="I45" s="100">
        <f t="shared" si="4"/>
        <v>460000</v>
      </c>
      <c r="J45" s="59">
        <v>0</v>
      </c>
      <c r="K45" s="59">
        <f>115000</f>
        <v>115000</v>
      </c>
      <c r="L45" s="74">
        <v>115000</v>
      </c>
      <c r="M45" s="14">
        <f t="shared" si="5"/>
        <v>345000</v>
      </c>
      <c r="N45" s="27">
        <v>115000</v>
      </c>
      <c r="Q45" s="17">
        <f t="shared" si="3"/>
        <v>0</v>
      </c>
    </row>
    <row r="46" spans="1:17" s="62" customFormat="1" ht="120" x14ac:dyDescent="0.25">
      <c r="A46" s="9">
        <v>45</v>
      </c>
      <c r="B46" s="67">
        <v>1617100023</v>
      </c>
      <c r="C46" s="67" t="s">
        <v>120</v>
      </c>
      <c r="D46" s="67" t="s">
        <v>121</v>
      </c>
      <c r="E46" s="353">
        <v>7</v>
      </c>
      <c r="F46" s="42" t="s">
        <v>31</v>
      </c>
      <c r="G46" s="138" t="s">
        <v>26</v>
      </c>
      <c r="H46" s="68">
        <v>498750</v>
      </c>
      <c r="I46" s="100">
        <f t="shared" si="4"/>
        <v>498750</v>
      </c>
      <c r="J46" s="42">
        <v>0</v>
      </c>
      <c r="K46" s="42">
        <v>150000</v>
      </c>
      <c r="L46" s="43">
        <f>150000</f>
        <v>150000</v>
      </c>
      <c r="M46" s="14">
        <f t="shared" si="5"/>
        <v>348750</v>
      </c>
      <c r="N46" s="27">
        <v>100000</v>
      </c>
      <c r="Q46" s="17">
        <f t="shared" si="3"/>
        <v>0</v>
      </c>
    </row>
    <row r="47" spans="1:17" s="62" customFormat="1" ht="76.5" x14ac:dyDescent="0.25">
      <c r="A47" s="9">
        <v>46</v>
      </c>
      <c r="B47" s="64">
        <v>1617100026</v>
      </c>
      <c r="C47" s="78" t="s">
        <v>124</v>
      </c>
      <c r="D47" s="99" t="s">
        <v>125</v>
      </c>
      <c r="E47" s="388">
        <v>7</v>
      </c>
      <c r="F47" s="59" t="s">
        <v>31</v>
      </c>
      <c r="G47" s="133" t="s">
        <v>26</v>
      </c>
      <c r="H47" s="59">
        <v>290000</v>
      </c>
      <c r="I47" s="100">
        <f t="shared" si="4"/>
        <v>290000</v>
      </c>
      <c r="J47" s="59">
        <v>0</v>
      </c>
      <c r="K47" s="59">
        <f>80000+60000</f>
        <v>140000</v>
      </c>
      <c r="L47" s="74">
        <f>80000+60000</f>
        <v>140000</v>
      </c>
      <c r="M47" s="14">
        <f t="shared" si="5"/>
        <v>150000</v>
      </c>
      <c r="N47" s="27">
        <v>0</v>
      </c>
      <c r="Q47" s="17">
        <f t="shared" si="3"/>
        <v>0</v>
      </c>
    </row>
    <row r="48" spans="1:17" s="62" customFormat="1" ht="30" x14ac:dyDescent="0.25">
      <c r="A48" s="9">
        <v>77</v>
      </c>
      <c r="B48" s="88" t="s">
        <v>197</v>
      </c>
      <c r="C48" s="20"/>
      <c r="D48" s="30" t="s">
        <v>198</v>
      </c>
      <c r="E48" s="342">
        <v>7</v>
      </c>
      <c r="F48" s="38" t="s">
        <v>31</v>
      </c>
      <c r="G48" s="88" t="s">
        <v>26</v>
      </c>
      <c r="H48" s="22">
        <v>7467500</v>
      </c>
      <c r="I48" s="100">
        <f t="shared" si="4"/>
        <v>7467500</v>
      </c>
      <c r="J48" s="22">
        <v>0</v>
      </c>
      <c r="K48" s="22">
        <v>2005000</v>
      </c>
      <c r="L48" s="31">
        <v>2005000</v>
      </c>
      <c r="M48" s="14">
        <f t="shared" si="5"/>
        <v>5462500</v>
      </c>
      <c r="N48" s="22">
        <v>300000</v>
      </c>
      <c r="O48" s="6"/>
      <c r="P48" s="6"/>
      <c r="Q48" s="17">
        <f t="shared" si="3"/>
        <v>0</v>
      </c>
    </row>
    <row r="49" spans="1:37" s="62" customFormat="1" ht="30" x14ac:dyDescent="0.25">
      <c r="A49" s="9">
        <v>4</v>
      </c>
      <c r="B49" s="20">
        <v>100021</v>
      </c>
      <c r="C49" s="20" t="s">
        <v>24</v>
      </c>
      <c r="D49" s="29" t="s">
        <v>25</v>
      </c>
      <c r="E49" s="206">
        <v>8</v>
      </c>
      <c r="F49" s="22" t="s">
        <v>17</v>
      </c>
      <c r="G49" s="88" t="s">
        <v>26</v>
      </c>
      <c r="H49" s="22">
        <v>125000</v>
      </c>
      <c r="I49" s="100">
        <f t="shared" si="4"/>
        <v>40000</v>
      </c>
      <c r="J49" s="22">
        <v>85000</v>
      </c>
      <c r="K49" s="27">
        <v>40000</v>
      </c>
      <c r="L49" s="31">
        <v>40000</v>
      </c>
      <c r="M49" s="14">
        <f t="shared" si="5"/>
        <v>0</v>
      </c>
      <c r="N49" s="27">
        <f t="shared" ref="N49:N55" si="6">M49</f>
        <v>0</v>
      </c>
      <c r="O49" s="28"/>
      <c r="P49" s="28"/>
      <c r="Q49" s="17">
        <f t="shared" si="3"/>
        <v>0</v>
      </c>
    </row>
    <row r="50" spans="1:37" s="62" customFormat="1" ht="45" x14ac:dyDescent="0.25">
      <c r="A50" s="9">
        <v>17</v>
      </c>
      <c r="B50" s="39">
        <v>100056</v>
      </c>
      <c r="C50" s="55" t="s">
        <v>54</v>
      </c>
      <c r="D50" s="55" t="s">
        <v>55</v>
      </c>
      <c r="E50" s="386">
        <v>8</v>
      </c>
      <c r="F50" s="42" t="s">
        <v>31</v>
      </c>
      <c r="G50" s="126" t="s">
        <v>26</v>
      </c>
      <c r="H50" s="27">
        <v>144750</v>
      </c>
      <c r="I50" s="100">
        <f t="shared" si="4"/>
        <v>144750</v>
      </c>
      <c r="J50" s="27">
        <v>0</v>
      </c>
      <c r="K50" s="56">
        <f>68625</f>
        <v>68625</v>
      </c>
      <c r="L50" s="31">
        <v>68625</v>
      </c>
      <c r="M50" s="14">
        <f t="shared" si="5"/>
        <v>76125</v>
      </c>
      <c r="N50" s="27">
        <f t="shared" si="6"/>
        <v>76125</v>
      </c>
      <c r="O50" s="57"/>
      <c r="P50" s="57"/>
      <c r="Q50" s="17">
        <f t="shared" si="3"/>
        <v>0</v>
      </c>
    </row>
    <row r="51" spans="1:37" s="62" customFormat="1" ht="45" x14ac:dyDescent="0.25">
      <c r="A51" s="9">
        <v>25</v>
      </c>
      <c r="B51" s="20">
        <v>100070</v>
      </c>
      <c r="C51" s="29" t="s">
        <v>76</v>
      </c>
      <c r="D51" s="60" t="s">
        <v>77</v>
      </c>
      <c r="E51" s="376">
        <v>8</v>
      </c>
      <c r="F51" s="22" t="s">
        <v>17</v>
      </c>
      <c r="G51" s="129" t="s">
        <v>26</v>
      </c>
      <c r="H51" s="22">
        <v>48000</v>
      </c>
      <c r="I51" s="100">
        <f t="shared" si="4"/>
        <v>48000</v>
      </c>
      <c r="J51" s="22">
        <v>0</v>
      </c>
      <c r="K51" s="27">
        <f>48000</f>
        <v>48000</v>
      </c>
      <c r="L51" s="31">
        <f>48000</f>
        <v>48000</v>
      </c>
      <c r="M51" s="14">
        <f t="shared" si="5"/>
        <v>0</v>
      </c>
      <c r="N51" s="27">
        <f t="shared" si="6"/>
        <v>0</v>
      </c>
      <c r="Q51" s="17">
        <f t="shared" si="3"/>
        <v>0</v>
      </c>
    </row>
    <row r="52" spans="1:37" s="66" customFormat="1" ht="30" x14ac:dyDescent="0.25">
      <c r="A52" s="9">
        <v>26</v>
      </c>
      <c r="B52" s="20">
        <v>100071</v>
      </c>
      <c r="C52" s="20" t="s">
        <v>78</v>
      </c>
      <c r="D52" s="29" t="s">
        <v>79</v>
      </c>
      <c r="E52" s="206">
        <v>8</v>
      </c>
      <c r="F52" s="38" t="s">
        <v>20</v>
      </c>
      <c r="G52" s="88" t="s">
        <v>26</v>
      </c>
      <c r="H52" s="22">
        <v>68600</v>
      </c>
      <c r="I52" s="100">
        <f t="shared" si="4"/>
        <v>68600</v>
      </c>
      <c r="J52" s="22">
        <v>0</v>
      </c>
      <c r="K52" s="27">
        <v>68600</v>
      </c>
      <c r="L52" s="31">
        <v>68600</v>
      </c>
      <c r="M52" s="14">
        <f t="shared" si="5"/>
        <v>0</v>
      </c>
      <c r="N52" s="27">
        <f t="shared" si="6"/>
        <v>0</v>
      </c>
      <c r="O52" s="62"/>
      <c r="P52" s="62"/>
      <c r="Q52" s="17">
        <f t="shared" ref="Q52:Q78" si="7">K52-L52</f>
        <v>0</v>
      </c>
    </row>
    <row r="53" spans="1:37" s="66" customFormat="1" ht="45" x14ac:dyDescent="0.25">
      <c r="A53" s="9">
        <v>29</v>
      </c>
      <c r="B53" s="20">
        <v>1617100001</v>
      </c>
      <c r="C53" s="20" t="s">
        <v>83</v>
      </c>
      <c r="D53" s="29" t="s">
        <v>84</v>
      </c>
      <c r="E53" s="206">
        <v>8</v>
      </c>
      <c r="F53" s="38" t="s">
        <v>31</v>
      </c>
      <c r="G53" s="88" t="s">
        <v>26</v>
      </c>
      <c r="H53" s="22">
        <v>218000</v>
      </c>
      <c r="I53" s="100">
        <f t="shared" si="4"/>
        <v>218000</v>
      </c>
      <c r="J53" s="22">
        <v>0</v>
      </c>
      <c r="K53" s="27">
        <f>5000+52000+35000+31000+10000</f>
        <v>133000</v>
      </c>
      <c r="L53" s="31">
        <f>52000+5000+35000+31000+10000-9997</f>
        <v>123003</v>
      </c>
      <c r="M53" s="14">
        <f t="shared" si="5"/>
        <v>94997</v>
      </c>
      <c r="N53" s="27">
        <f t="shared" si="6"/>
        <v>94997</v>
      </c>
      <c r="O53" s="62"/>
      <c r="P53" s="62"/>
      <c r="Q53" s="17">
        <f t="shared" si="7"/>
        <v>9997</v>
      </c>
    </row>
    <row r="54" spans="1:37" s="66" customFormat="1" ht="75" x14ac:dyDescent="0.25">
      <c r="A54" s="9">
        <v>34</v>
      </c>
      <c r="B54" s="67">
        <v>1617100008</v>
      </c>
      <c r="C54" s="67" t="s">
        <v>94</v>
      </c>
      <c r="D54" s="67" t="s">
        <v>95</v>
      </c>
      <c r="E54" s="353">
        <v>8</v>
      </c>
      <c r="F54" s="38" t="s">
        <v>17</v>
      </c>
      <c r="G54" s="138" t="s">
        <v>26</v>
      </c>
      <c r="H54" s="73">
        <v>150000</v>
      </c>
      <c r="I54" s="100">
        <f t="shared" si="4"/>
        <v>150000</v>
      </c>
      <c r="J54" s="38">
        <v>0</v>
      </c>
      <c r="K54" s="42">
        <v>150000</v>
      </c>
      <c r="L54" s="43">
        <f>75000+75000</f>
        <v>150000</v>
      </c>
      <c r="M54" s="14">
        <f t="shared" si="5"/>
        <v>0</v>
      </c>
      <c r="N54" s="27">
        <f t="shared" si="6"/>
        <v>0</v>
      </c>
      <c r="O54" s="62"/>
      <c r="P54" s="62"/>
      <c r="Q54" s="17">
        <f t="shared" si="7"/>
        <v>0</v>
      </c>
    </row>
    <row r="55" spans="1:37" s="66" customFormat="1" ht="60" x14ac:dyDescent="0.25">
      <c r="A55" s="9">
        <v>37</v>
      </c>
      <c r="B55" s="67">
        <v>1617100013</v>
      </c>
      <c r="C55" s="67" t="s">
        <v>100</v>
      </c>
      <c r="D55" s="67" t="s">
        <v>100</v>
      </c>
      <c r="E55" s="353">
        <v>8</v>
      </c>
      <c r="F55" s="38" t="s">
        <v>20</v>
      </c>
      <c r="G55" s="138" t="s">
        <v>26</v>
      </c>
      <c r="H55" s="73">
        <v>86500</v>
      </c>
      <c r="I55" s="100">
        <f t="shared" si="4"/>
        <v>86500</v>
      </c>
      <c r="J55" s="38">
        <v>0</v>
      </c>
      <c r="K55" s="42">
        <v>86500</v>
      </c>
      <c r="L55" s="43">
        <f>86500</f>
        <v>86500</v>
      </c>
      <c r="M55" s="14">
        <f t="shared" si="5"/>
        <v>0</v>
      </c>
      <c r="N55" s="27">
        <f t="shared" si="6"/>
        <v>0</v>
      </c>
      <c r="O55" s="62"/>
      <c r="P55" s="62"/>
      <c r="Q55" s="17">
        <f t="shared" si="7"/>
        <v>0</v>
      </c>
    </row>
    <row r="56" spans="1:37" s="66" customFormat="1" ht="30" x14ac:dyDescent="0.25">
      <c r="A56" s="9">
        <v>23</v>
      </c>
      <c r="B56" s="20">
        <v>100067</v>
      </c>
      <c r="C56" s="29" t="s">
        <v>71</v>
      </c>
      <c r="D56" s="29" t="s">
        <v>72</v>
      </c>
      <c r="E56" s="206">
        <v>9</v>
      </c>
      <c r="F56" s="38" t="s">
        <v>31</v>
      </c>
      <c r="G56" s="88" t="s">
        <v>26</v>
      </c>
      <c r="H56" s="22">
        <v>374840</v>
      </c>
      <c r="I56" s="100">
        <f t="shared" si="4"/>
        <v>374840</v>
      </c>
      <c r="J56" s="22">
        <v>0</v>
      </c>
      <c r="K56" s="53">
        <f>77800+92570+262273</f>
        <v>432643</v>
      </c>
      <c r="L56" s="54">
        <f>77800+92570+262273+15570</f>
        <v>448213</v>
      </c>
      <c r="M56" s="145">
        <f t="shared" si="5"/>
        <v>-73373</v>
      </c>
      <c r="N56" s="27">
        <v>0</v>
      </c>
      <c r="O56" s="62"/>
      <c r="P56" s="63" t="s">
        <v>73</v>
      </c>
      <c r="Q56" s="17">
        <f t="shared" si="7"/>
        <v>-15570</v>
      </c>
    </row>
    <row r="57" spans="1:37" s="66" customFormat="1" ht="30" x14ac:dyDescent="0.25">
      <c r="A57" s="9">
        <v>27</v>
      </c>
      <c r="B57" s="20">
        <v>300051</v>
      </c>
      <c r="C57" s="20" t="s">
        <v>80</v>
      </c>
      <c r="D57" s="29" t="s">
        <v>81</v>
      </c>
      <c r="E57" s="206">
        <v>9</v>
      </c>
      <c r="F57" s="38" t="s">
        <v>31</v>
      </c>
      <c r="G57" s="88" t="s">
        <v>26</v>
      </c>
      <c r="H57" s="22">
        <f>277027+157706+78853</f>
        <v>513586</v>
      </c>
      <c r="I57" s="100">
        <f t="shared" si="4"/>
        <v>513586</v>
      </c>
      <c r="J57" s="22">
        <v>0</v>
      </c>
      <c r="K57" s="27">
        <f>277027+157706+78853</f>
        <v>513586</v>
      </c>
      <c r="L57" s="31">
        <f>277027+157706+78853</f>
        <v>513586</v>
      </c>
      <c r="M57" s="14">
        <f t="shared" si="5"/>
        <v>0</v>
      </c>
      <c r="N57" s="27">
        <f>M57</f>
        <v>0</v>
      </c>
      <c r="O57" s="62"/>
      <c r="P57" s="62"/>
      <c r="Q57" s="17">
        <f t="shared" si="7"/>
        <v>0</v>
      </c>
    </row>
    <row r="58" spans="1:37" s="66" customFormat="1" ht="63.75" x14ac:dyDescent="0.25">
      <c r="A58" s="9">
        <v>49</v>
      </c>
      <c r="B58" s="98">
        <v>1617100033</v>
      </c>
      <c r="C58" s="78" t="s">
        <v>133</v>
      </c>
      <c r="D58" s="99" t="s">
        <v>134</v>
      </c>
      <c r="E58" s="388">
        <v>9</v>
      </c>
      <c r="F58" s="59" t="s">
        <v>17</v>
      </c>
      <c r="G58" s="133" t="s">
        <v>26</v>
      </c>
      <c r="H58" s="59">
        <v>500000</v>
      </c>
      <c r="I58" s="100">
        <f t="shared" si="4"/>
        <v>500000</v>
      </c>
      <c r="J58" s="59">
        <v>0</v>
      </c>
      <c r="K58" s="59">
        <v>500000</v>
      </c>
      <c r="L58" s="74">
        <f>500000</f>
        <v>500000</v>
      </c>
      <c r="M58" s="14">
        <f t="shared" si="5"/>
        <v>0</v>
      </c>
      <c r="N58" s="27">
        <f>M58</f>
        <v>0</v>
      </c>
      <c r="O58" s="62"/>
      <c r="P58" s="62"/>
      <c r="Q58" s="17">
        <f t="shared" si="7"/>
        <v>0</v>
      </c>
    </row>
    <row r="59" spans="1:37" s="66" customFormat="1" ht="25.5" x14ac:dyDescent="0.25">
      <c r="A59" s="9">
        <v>56</v>
      </c>
      <c r="B59" s="76">
        <v>4300045770</v>
      </c>
      <c r="C59" s="76" t="s">
        <v>154</v>
      </c>
      <c r="D59" s="76" t="s">
        <v>155</v>
      </c>
      <c r="E59" s="168">
        <v>9</v>
      </c>
      <c r="F59" s="76" t="s">
        <v>31</v>
      </c>
      <c r="G59" s="135" t="s">
        <v>26</v>
      </c>
      <c r="H59" s="86">
        <v>199230000</v>
      </c>
      <c r="I59" s="100">
        <f t="shared" si="4"/>
        <v>199230000</v>
      </c>
      <c r="J59" s="76">
        <v>0</v>
      </c>
      <c r="K59" s="76">
        <v>17560587.5</v>
      </c>
      <c r="L59" s="77">
        <f>11720645.8+5839941.7</f>
        <v>17560587.5</v>
      </c>
      <c r="M59" s="14">
        <f t="shared" si="5"/>
        <v>181669412.5</v>
      </c>
      <c r="N59" s="27">
        <v>45000000</v>
      </c>
      <c r="Q59" s="17">
        <f t="shared" si="7"/>
        <v>0</v>
      </c>
    </row>
    <row r="60" spans="1:37" s="87" customFormat="1" ht="60" x14ac:dyDescent="0.25">
      <c r="A60" s="9">
        <v>57</v>
      </c>
      <c r="B60" s="82">
        <v>1617100046</v>
      </c>
      <c r="C60" s="84" t="s">
        <v>69</v>
      </c>
      <c r="D60" s="75" t="s">
        <v>156</v>
      </c>
      <c r="E60" s="358">
        <v>9</v>
      </c>
      <c r="F60" s="22" t="s">
        <v>20</v>
      </c>
      <c r="G60" s="134" t="s">
        <v>26</v>
      </c>
      <c r="H60" s="76">
        <v>150000</v>
      </c>
      <c r="I60" s="100">
        <f t="shared" si="4"/>
        <v>150000</v>
      </c>
      <c r="J60" s="25">
        <v>0</v>
      </c>
      <c r="K60" s="25">
        <v>0</v>
      </c>
      <c r="L60" s="26">
        <v>150000</v>
      </c>
      <c r="M60" s="14">
        <f t="shared" si="5"/>
        <v>0</v>
      </c>
      <c r="N60" s="53">
        <f t="shared" ref="N60:N69" si="8">M60</f>
        <v>0</v>
      </c>
      <c r="O60" s="66"/>
      <c r="P60" s="66"/>
      <c r="Q60" s="146">
        <f t="shared" si="7"/>
        <v>-150000</v>
      </c>
      <c r="R60" s="66"/>
      <c r="S60" s="66"/>
      <c r="T60" s="66"/>
      <c r="U60" s="66"/>
      <c r="V60" s="66"/>
      <c r="W60" s="66"/>
      <c r="X60" s="66"/>
      <c r="Y60" s="66"/>
      <c r="Z60" s="66"/>
      <c r="AA60" s="66"/>
      <c r="AB60" s="66"/>
      <c r="AC60" s="66"/>
      <c r="AD60" s="66"/>
      <c r="AE60" s="66"/>
      <c r="AF60" s="66"/>
      <c r="AG60" s="66"/>
      <c r="AH60" s="66"/>
      <c r="AI60" s="66"/>
      <c r="AJ60" s="66"/>
      <c r="AK60" s="66"/>
    </row>
    <row r="61" spans="1:37" s="66" customFormat="1" ht="30" x14ac:dyDescent="0.25">
      <c r="A61" s="9">
        <v>58</v>
      </c>
      <c r="B61" s="97" t="s">
        <v>158</v>
      </c>
      <c r="C61" s="29"/>
      <c r="D61" s="29" t="s">
        <v>159</v>
      </c>
      <c r="E61" s="206">
        <v>9</v>
      </c>
      <c r="F61" s="22"/>
      <c r="G61" s="131" t="s">
        <v>26</v>
      </c>
      <c r="H61" s="22">
        <v>498500</v>
      </c>
      <c r="I61" s="100">
        <f t="shared" si="4"/>
        <v>498500</v>
      </c>
      <c r="J61" s="25">
        <v>0</v>
      </c>
      <c r="K61" s="25">
        <v>0</v>
      </c>
      <c r="L61" s="25"/>
      <c r="M61" s="14">
        <f t="shared" si="5"/>
        <v>498500</v>
      </c>
      <c r="N61" s="27">
        <f t="shared" si="8"/>
        <v>498500</v>
      </c>
      <c r="Q61" s="17">
        <f t="shared" si="7"/>
        <v>0</v>
      </c>
    </row>
    <row r="62" spans="1:37" s="66" customFormat="1" ht="15" x14ac:dyDescent="0.25">
      <c r="A62" s="9">
        <v>59</v>
      </c>
      <c r="B62" s="97" t="s">
        <v>160</v>
      </c>
      <c r="C62" s="29"/>
      <c r="D62" s="29" t="s">
        <v>161</v>
      </c>
      <c r="E62" s="206">
        <v>9</v>
      </c>
      <c r="F62" s="22"/>
      <c r="G62" s="131" t="s">
        <v>26</v>
      </c>
      <c r="H62" s="22">
        <v>694000</v>
      </c>
      <c r="I62" s="100">
        <f t="shared" si="4"/>
        <v>694000</v>
      </c>
      <c r="J62" s="25">
        <v>0</v>
      </c>
      <c r="K62" s="25">
        <v>0</v>
      </c>
      <c r="L62" s="25"/>
      <c r="M62" s="14">
        <f t="shared" si="5"/>
        <v>694000</v>
      </c>
      <c r="N62" s="27">
        <f t="shared" si="8"/>
        <v>694000</v>
      </c>
      <c r="Q62" s="17">
        <f t="shared" si="7"/>
        <v>0</v>
      </c>
    </row>
    <row r="63" spans="1:37" s="66" customFormat="1" ht="15" x14ac:dyDescent="0.25">
      <c r="A63" s="9">
        <v>60</v>
      </c>
      <c r="B63" s="97" t="s">
        <v>162</v>
      </c>
      <c r="C63" s="29"/>
      <c r="D63" s="29" t="s">
        <v>163</v>
      </c>
      <c r="E63" s="206">
        <v>9</v>
      </c>
      <c r="F63" s="22"/>
      <c r="G63" s="131" t="s">
        <v>26</v>
      </c>
      <c r="H63" s="22">
        <v>306366</v>
      </c>
      <c r="I63" s="100">
        <f t="shared" si="4"/>
        <v>306366</v>
      </c>
      <c r="J63" s="25">
        <v>0</v>
      </c>
      <c r="K63" s="25">
        <v>0</v>
      </c>
      <c r="L63" s="25"/>
      <c r="M63" s="14">
        <f t="shared" si="5"/>
        <v>306366</v>
      </c>
      <c r="N63" s="27">
        <f t="shared" si="8"/>
        <v>306366</v>
      </c>
      <c r="Q63" s="17">
        <f t="shared" si="7"/>
        <v>0</v>
      </c>
    </row>
    <row r="64" spans="1:37" s="66" customFormat="1" ht="15" x14ac:dyDescent="0.25">
      <c r="A64" s="9">
        <v>61</v>
      </c>
      <c r="B64" s="97" t="s">
        <v>164</v>
      </c>
      <c r="C64" s="29"/>
      <c r="D64" s="29" t="s">
        <v>165</v>
      </c>
      <c r="E64" s="206">
        <v>9</v>
      </c>
      <c r="F64" s="22"/>
      <c r="G64" s="131" t="s">
        <v>26</v>
      </c>
      <c r="H64" s="22">
        <v>292320</v>
      </c>
      <c r="I64" s="100">
        <f t="shared" si="4"/>
        <v>292320</v>
      </c>
      <c r="J64" s="25">
        <v>0</v>
      </c>
      <c r="K64" s="25">
        <v>0</v>
      </c>
      <c r="L64" s="25"/>
      <c r="M64" s="14">
        <f t="shared" si="5"/>
        <v>292320</v>
      </c>
      <c r="N64" s="27">
        <f t="shared" si="8"/>
        <v>292320</v>
      </c>
      <c r="Q64" s="17">
        <f t="shared" si="7"/>
        <v>0</v>
      </c>
    </row>
    <row r="65" spans="1:17" s="66" customFormat="1" ht="30" x14ac:dyDescent="0.25">
      <c r="A65" s="9">
        <v>62</v>
      </c>
      <c r="B65" s="97" t="s">
        <v>166</v>
      </c>
      <c r="C65" s="29"/>
      <c r="D65" s="29" t="s">
        <v>167</v>
      </c>
      <c r="E65" s="206">
        <v>9</v>
      </c>
      <c r="F65" s="22"/>
      <c r="G65" s="131" t="s">
        <v>26</v>
      </c>
      <c r="H65" s="22">
        <v>212340</v>
      </c>
      <c r="I65" s="100">
        <f t="shared" si="4"/>
        <v>212340</v>
      </c>
      <c r="J65" s="25">
        <v>0</v>
      </c>
      <c r="K65" s="25">
        <v>0</v>
      </c>
      <c r="L65" s="25"/>
      <c r="M65" s="14">
        <f t="shared" si="5"/>
        <v>212340</v>
      </c>
      <c r="N65" s="27">
        <f t="shared" si="8"/>
        <v>212340</v>
      </c>
      <c r="Q65" s="17">
        <f t="shared" si="7"/>
        <v>0</v>
      </c>
    </row>
    <row r="66" spans="1:17" s="66" customFormat="1" ht="15" x14ac:dyDescent="0.25">
      <c r="A66" s="9">
        <v>63</v>
      </c>
      <c r="B66" s="97" t="s">
        <v>168</v>
      </c>
      <c r="C66" s="29"/>
      <c r="D66" s="29" t="s">
        <v>169</v>
      </c>
      <c r="E66" s="206">
        <v>9</v>
      </c>
      <c r="F66" s="22"/>
      <c r="G66" s="131" t="s">
        <v>26</v>
      </c>
      <c r="H66" s="22">
        <v>855346</v>
      </c>
      <c r="I66" s="100">
        <f t="shared" si="4"/>
        <v>855346</v>
      </c>
      <c r="J66" s="25">
        <v>0</v>
      </c>
      <c r="K66" s="25">
        <v>0</v>
      </c>
      <c r="L66" s="25"/>
      <c r="M66" s="14">
        <f t="shared" si="5"/>
        <v>855346</v>
      </c>
      <c r="N66" s="27">
        <f t="shared" si="8"/>
        <v>855346</v>
      </c>
      <c r="Q66" s="17">
        <f t="shared" si="7"/>
        <v>0</v>
      </c>
    </row>
    <row r="67" spans="1:17" s="66" customFormat="1" ht="15" x14ac:dyDescent="0.25">
      <c r="A67" s="9">
        <v>64</v>
      </c>
      <c r="B67" s="97" t="s">
        <v>170</v>
      </c>
      <c r="C67" s="29"/>
      <c r="D67" s="29" t="s">
        <v>171</v>
      </c>
      <c r="E67" s="206">
        <v>9</v>
      </c>
      <c r="F67" s="22"/>
      <c r="G67" s="131" t="s">
        <v>26</v>
      </c>
      <c r="H67" s="22">
        <v>156078</v>
      </c>
      <c r="I67" s="100">
        <f t="shared" si="4"/>
        <v>156078</v>
      </c>
      <c r="J67" s="25">
        <v>0</v>
      </c>
      <c r="K67" s="25">
        <v>0</v>
      </c>
      <c r="L67" s="25"/>
      <c r="M67" s="14">
        <f t="shared" si="5"/>
        <v>156078</v>
      </c>
      <c r="N67" s="27">
        <f t="shared" si="8"/>
        <v>156078</v>
      </c>
      <c r="Q67" s="17">
        <f t="shared" si="7"/>
        <v>0</v>
      </c>
    </row>
    <row r="68" spans="1:17" s="66" customFormat="1" ht="15" x14ac:dyDescent="0.25">
      <c r="A68" s="9">
        <v>65</v>
      </c>
      <c r="B68" s="97" t="s">
        <v>172</v>
      </c>
      <c r="C68" s="29"/>
      <c r="D68" s="40" t="s">
        <v>173</v>
      </c>
      <c r="E68" s="342">
        <v>9</v>
      </c>
      <c r="F68" s="22"/>
      <c r="G68" s="131" t="s">
        <v>26</v>
      </c>
      <c r="H68" s="22">
        <v>153137</v>
      </c>
      <c r="I68" s="100">
        <f t="shared" ref="I68:I99" si="9">H68-J68</f>
        <v>153137</v>
      </c>
      <c r="J68" s="25">
        <v>0</v>
      </c>
      <c r="K68" s="25">
        <v>0</v>
      </c>
      <c r="L68" s="25"/>
      <c r="M68" s="14">
        <f t="shared" ref="M68:M78" si="10">H68-(J68+L68)</f>
        <v>153137</v>
      </c>
      <c r="N68" s="27">
        <f t="shared" si="8"/>
        <v>153137</v>
      </c>
      <c r="Q68" s="17">
        <f t="shared" si="7"/>
        <v>0</v>
      </c>
    </row>
    <row r="69" spans="1:17" s="66" customFormat="1" ht="15" x14ac:dyDescent="0.25">
      <c r="A69" s="9">
        <v>66</v>
      </c>
      <c r="B69" s="97" t="s">
        <v>174</v>
      </c>
      <c r="C69" s="29"/>
      <c r="D69" s="40" t="s">
        <v>175</v>
      </c>
      <c r="E69" s="342">
        <v>9</v>
      </c>
      <c r="F69" s="22"/>
      <c r="G69" s="131" t="s">
        <v>26</v>
      </c>
      <c r="H69" s="22">
        <v>219000</v>
      </c>
      <c r="I69" s="100">
        <f t="shared" si="9"/>
        <v>219000</v>
      </c>
      <c r="J69" s="25">
        <v>0</v>
      </c>
      <c r="K69" s="25">
        <v>0</v>
      </c>
      <c r="L69" s="25"/>
      <c r="M69" s="14">
        <f t="shared" si="10"/>
        <v>219000</v>
      </c>
      <c r="N69" s="27">
        <f t="shared" si="8"/>
        <v>219000</v>
      </c>
      <c r="Q69" s="17">
        <f t="shared" si="7"/>
        <v>0</v>
      </c>
    </row>
    <row r="70" spans="1:17" s="66" customFormat="1" ht="15" x14ac:dyDescent="0.25">
      <c r="A70" s="9">
        <v>67</v>
      </c>
      <c r="B70" s="97" t="s">
        <v>176</v>
      </c>
      <c r="C70" s="29" t="s">
        <v>177</v>
      </c>
      <c r="D70" s="29" t="s">
        <v>178</v>
      </c>
      <c r="E70" s="206">
        <v>9</v>
      </c>
      <c r="F70" s="22" t="s">
        <v>20</v>
      </c>
      <c r="G70" s="88" t="s">
        <v>26</v>
      </c>
      <c r="H70" s="25">
        <v>22467</v>
      </c>
      <c r="I70" s="100">
        <f t="shared" si="9"/>
        <v>22467</v>
      </c>
      <c r="J70" s="25">
        <v>0</v>
      </c>
      <c r="K70" s="25">
        <v>22467</v>
      </c>
      <c r="L70" s="26">
        <v>22467</v>
      </c>
      <c r="M70" s="14">
        <f t="shared" si="10"/>
        <v>0</v>
      </c>
      <c r="N70" s="61">
        <v>0</v>
      </c>
      <c r="Q70" s="17">
        <f t="shared" si="7"/>
        <v>0</v>
      </c>
    </row>
    <row r="71" spans="1:17" s="66" customFormat="1" ht="30" x14ac:dyDescent="0.25">
      <c r="A71" s="9">
        <v>68</v>
      </c>
      <c r="B71" s="97" t="s">
        <v>176</v>
      </c>
      <c r="C71" s="29" t="s">
        <v>176</v>
      </c>
      <c r="D71" s="29" t="s">
        <v>179</v>
      </c>
      <c r="E71" s="206">
        <v>9</v>
      </c>
      <c r="F71" s="22" t="s">
        <v>20</v>
      </c>
      <c r="G71" s="88" t="s">
        <v>26</v>
      </c>
      <c r="H71" s="25">
        <v>10000</v>
      </c>
      <c r="I71" s="100">
        <f t="shared" si="9"/>
        <v>10000</v>
      </c>
      <c r="J71" s="25">
        <v>0</v>
      </c>
      <c r="K71" s="25">
        <v>10000</v>
      </c>
      <c r="L71" s="26">
        <v>10000</v>
      </c>
      <c r="M71" s="14">
        <f t="shared" si="10"/>
        <v>0</v>
      </c>
      <c r="N71" s="61">
        <v>0</v>
      </c>
      <c r="Q71" s="17">
        <f t="shared" si="7"/>
        <v>0</v>
      </c>
    </row>
    <row r="72" spans="1:17" s="66" customFormat="1" ht="30" x14ac:dyDescent="0.25">
      <c r="A72" s="9">
        <v>69</v>
      </c>
      <c r="B72" s="97"/>
      <c r="C72" s="29"/>
      <c r="D72" s="30" t="s">
        <v>180</v>
      </c>
      <c r="E72" s="342">
        <v>9</v>
      </c>
      <c r="F72" s="38" t="s">
        <v>20</v>
      </c>
      <c r="G72" s="88" t="s">
        <v>26</v>
      </c>
      <c r="H72" s="25">
        <v>50250</v>
      </c>
      <c r="I72" s="100">
        <f t="shared" si="9"/>
        <v>50250</v>
      </c>
      <c r="J72" s="25">
        <v>0</v>
      </c>
      <c r="K72" s="25"/>
      <c r="L72" s="26">
        <v>50250</v>
      </c>
      <c r="M72" s="14">
        <f t="shared" si="10"/>
        <v>0</v>
      </c>
      <c r="N72" s="61"/>
      <c r="Q72" s="17">
        <f t="shared" si="7"/>
        <v>-50250</v>
      </c>
    </row>
    <row r="73" spans="1:17" s="28" customFormat="1" ht="30" x14ac:dyDescent="0.25">
      <c r="A73" s="9">
        <v>73</v>
      </c>
      <c r="B73" s="20" t="s">
        <v>189</v>
      </c>
      <c r="C73" s="20" t="s">
        <v>190</v>
      </c>
      <c r="D73" s="29" t="s">
        <v>191</v>
      </c>
      <c r="E73" s="206">
        <v>9</v>
      </c>
      <c r="F73" s="38" t="s">
        <v>20</v>
      </c>
      <c r="G73" s="88" t="s">
        <v>26</v>
      </c>
      <c r="H73" s="22">
        <v>34923</v>
      </c>
      <c r="I73" s="100">
        <f t="shared" si="9"/>
        <v>34923</v>
      </c>
      <c r="J73" s="22">
        <v>0</v>
      </c>
      <c r="K73" s="27">
        <v>34923</v>
      </c>
      <c r="L73" s="31">
        <v>34923</v>
      </c>
      <c r="M73" s="14">
        <f t="shared" si="10"/>
        <v>0</v>
      </c>
      <c r="N73" s="27">
        <f>M73</f>
        <v>0</v>
      </c>
      <c r="O73" s="6"/>
      <c r="P73" s="6"/>
      <c r="Q73" s="17">
        <f t="shared" si="7"/>
        <v>0</v>
      </c>
    </row>
    <row r="74" spans="1:17" s="66" customFormat="1" ht="30" x14ac:dyDescent="0.25">
      <c r="A74" s="9">
        <v>76</v>
      </c>
      <c r="B74" s="29"/>
      <c r="C74" s="20"/>
      <c r="D74" s="30" t="s">
        <v>196</v>
      </c>
      <c r="E74" s="342">
        <v>9</v>
      </c>
      <c r="F74" s="38" t="s">
        <v>20</v>
      </c>
      <c r="G74" s="121" t="s">
        <v>26</v>
      </c>
      <c r="H74" s="71">
        <v>344094</v>
      </c>
      <c r="I74" s="150">
        <f t="shared" si="9"/>
        <v>344094</v>
      </c>
      <c r="J74" s="22">
        <v>0</v>
      </c>
      <c r="K74" s="22"/>
      <c r="L74" s="31">
        <v>344094</v>
      </c>
      <c r="M74" s="145">
        <f t="shared" si="10"/>
        <v>0</v>
      </c>
      <c r="N74" s="27"/>
      <c r="O74" s="6"/>
      <c r="P74" s="6"/>
      <c r="Q74" s="17">
        <f t="shared" si="7"/>
        <v>-344094</v>
      </c>
    </row>
    <row r="75" spans="1:17" s="50" customFormat="1" ht="15" x14ac:dyDescent="0.25">
      <c r="A75" s="9">
        <v>28</v>
      </c>
      <c r="B75" s="64">
        <v>1617000203</v>
      </c>
      <c r="C75" s="65" t="s">
        <v>69</v>
      </c>
      <c r="D75" s="40" t="s">
        <v>82</v>
      </c>
      <c r="E75" s="342">
        <v>10</v>
      </c>
      <c r="F75" s="38" t="s">
        <v>31</v>
      </c>
      <c r="G75" s="131" t="s">
        <v>26</v>
      </c>
      <c r="H75" s="38">
        <v>1000000</v>
      </c>
      <c r="I75" s="100">
        <f t="shared" si="9"/>
        <v>1000000</v>
      </c>
      <c r="J75" s="38">
        <v>0</v>
      </c>
      <c r="K75" s="42">
        <v>85000</v>
      </c>
      <c r="L75" s="43">
        <f>51000+34000+30679+25079</f>
        <v>140758</v>
      </c>
      <c r="M75" s="14">
        <f t="shared" si="10"/>
        <v>859242</v>
      </c>
      <c r="N75" s="27">
        <f>30679</f>
        <v>30679</v>
      </c>
      <c r="O75" s="66"/>
      <c r="P75" s="66"/>
      <c r="Q75" s="17">
        <f t="shared" si="7"/>
        <v>-55758</v>
      </c>
    </row>
    <row r="76" spans="1:17" ht="38.25" x14ac:dyDescent="0.25">
      <c r="A76" s="9">
        <v>1</v>
      </c>
      <c r="B76" s="96">
        <v>100007</v>
      </c>
      <c r="C76" s="16" t="s">
        <v>15</v>
      </c>
      <c r="D76" s="106" t="s">
        <v>16</v>
      </c>
      <c r="E76" s="168">
        <v>11</v>
      </c>
      <c r="F76" s="52" t="s">
        <v>17</v>
      </c>
      <c r="G76" s="121" t="s">
        <v>18</v>
      </c>
      <c r="H76" s="100">
        <v>2310000</v>
      </c>
      <c r="I76" s="100">
        <f t="shared" si="9"/>
        <v>462000</v>
      </c>
      <c r="J76" s="103">
        <v>1848000</v>
      </c>
      <c r="K76" s="100">
        <f>H76-J76</f>
        <v>462000</v>
      </c>
      <c r="L76" s="18">
        <f>462000</f>
        <v>462000</v>
      </c>
      <c r="M76" s="14">
        <f t="shared" si="10"/>
        <v>0</v>
      </c>
      <c r="N76" s="14"/>
      <c r="Q76" s="17">
        <f t="shared" si="7"/>
        <v>0</v>
      </c>
    </row>
    <row r="77" spans="1:17" ht="15" x14ac:dyDescent="0.25">
      <c r="A77" s="9">
        <v>2</v>
      </c>
      <c r="B77" s="96"/>
      <c r="C77" s="16"/>
      <c r="D77" s="19" t="s">
        <v>19</v>
      </c>
      <c r="E77" s="352">
        <v>11</v>
      </c>
      <c r="F77" s="52" t="s">
        <v>20</v>
      </c>
      <c r="G77" s="121" t="s">
        <v>18</v>
      </c>
      <c r="H77" s="100">
        <v>19379</v>
      </c>
      <c r="I77" s="100">
        <f t="shared" si="9"/>
        <v>19379</v>
      </c>
      <c r="J77" s="103">
        <v>0</v>
      </c>
      <c r="K77" s="100"/>
      <c r="L77" s="18">
        <f>10956+450+4640+2029+1009+295</f>
        <v>19379</v>
      </c>
      <c r="M77" s="14">
        <f t="shared" si="10"/>
        <v>0</v>
      </c>
      <c r="N77" s="14"/>
      <c r="Q77" s="17">
        <f t="shared" si="7"/>
        <v>-19379</v>
      </c>
    </row>
    <row r="78" spans="1:17" ht="60" x14ac:dyDescent="0.25">
      <c r="A78" s="9">
        <v>19</v>
      </c>
      <c r="B78" s="20">
        <v>100060</v>
      </c>
      <c r="C78" s="20" t="s">
        <v>58</v>
      </c>
      <c r="D78" s="29" t="s">
        <v>59</v>
      </c>
      <c r="E78" s="206">
        <v>11</v>
      </c>
      <c r="F78" s="38" t="s">
        <v>31</v>
      </c>
      <c r="G78" s="127" t="s">
        <v>18</v>
      </c>
      <c r="H78" s="22">
        <v>4032000</v>
      </c>
      <c r="I78" s="100">
        <f t="shared" si="9"/>
        <v>4032000</v>
      </c>
      <c r="J78" s="22">
        <v>0</v>
      </c>
      <c r="K78" s="27">
        <f>1209600+2016000</f>
        <v>3225600</v>
      </c>
      <c r="L78" s="31">
        <f>1209600+2016000</f>
        <v>3225600</v>
      </c>
      <c r="M78" s="14">
        <f t="shared" si="10"/>
        <v>806400</v>
      </c>
      <c r="N78" s="27">
        <f>M78</f>
        <v>806400</v>
      </c>
      <c r="Q78" s="17">
        <f t="shared" si="7"/>
        <v>0</v>
      </c>
    </row>
    <row r="79" spans="1:17" ht="75" x14ac:dyDescent="0.25">
      <c r="A79" s="167">
        <v>11</v>
      </c>
      <c r="B79" s="131">
        <v>300059</v>
      </c>
      <c r="C79" s="258" t="s">
        <v>418</v>
      </c>
      <c r="D79" s="259" t="s">
        <v>419</v>
      </c>
      <c r="E79" s="187">
        <v>11</v>
      </c>
      <c r="F79" s="131"/>
      <c r="G79" s="259" t="s">
        <v>18</v>
      </c>
      <c r="H79" s="260">
        <v>448900</v>
      </c>
      <c r="I79" s="131">
        <f t="shared" si="9"/>
        <v>448900</v>
      </c>
      <c r="J79" s="131">
        <v>0</v>
      </c>
      <c r="K79" s="261">
        <f>418900+34500</f>
        <v>453400</v>
      </c>
      <c r="L79" s="178">
        <f>418900+34500</f>
        <v>453400</v>
      </c>
      <c r="M79" s="127">
        <v>0</v>
      </c>
      <c r="N79" s="127">
        <f>M79</f>
        <v>0</v>
      </c>
    </row>
    <row r="80" spans="1:17" ht="60" x14ac:dyDescent="0.25">
      <c r="A80" s="9">
        <v>30</v>
      </c>
      <c r="B80" s="67">
        <v>1617100002</v>
      </c>
      <c r="C80" s="67" t="s">
        <v>85</v>
      </c>
      <c r="D80" s="67" t="s">
        <v>86</v>
      </c>
      <c r="E80" s="353">
        <v>12</v>
      </c>
      <c r="F80" s="38" t="s">
        <v>31</v>
      </c>
      <c r="G80" s="121" t="s">
        <v>18</v>
      </c>
      <c r="H80" s="68">
        <v>1153650</v>
      </c>
      <c r="I80" s="100">
        <f t="shared" si="9"/>
        <v>1153650</v>
      </c>
      <c r="J80" s="38">
        <v>0</v>
      </c>
      <c r="K80" s="42">
        <f>6200+50955</f>
        <v>57155</v>
      </c>
      <c r="L80" s="43">
        <f>6200+50955</f>
        <v>57155</v>
      </c>
      <c r="M80" s="14">
        <f t="shared" ref="M80:M111" si="11">H80-(J80+L80)</f>
        <v>1096495</v>
      </c>
      <c r="N80" s="53">
        <f>M80</f>
        <v>1096495</v>
      </c>
      <c r="O80" s="62"/>
      <c r="P80" s="62"/>
      <c r="Q80" s="17">
        <f>K80-L80</f>
        <v>0</v>
      </c>
    </row>
    <row r="81" spans="1:18" ht="30" x14ac:dyDescent="0.25">
      <c r="A81" s="9">
        <v>31</v>
      </c>
      <c r="B81" s="67"/>
      <c r="C81" s="67">
        <v>150104</v>
      </c>
      <c r="D81" s="67" t="s">
        <v>87</v>
      </c>
      <c r="E81" s="353">
        <v>12</v>
      </c>
      <c r="F81" s="38" t="s">
        <v>20</v>
      </c>
      <c r="G81" s="121" t="s">
        <v>18</v>
      </c>
      <c r="H81" s="68">
        <v>6500</v>
      </c>
      <c r="I81" s="100">
        <f t="shared" si="9"/>
        <v>6500</v>
      </c>
      <c r="J81" s="38">
        <v>0</v>
      </c>
      <c r="K81" s="42"/>
      <c r="L81" s="43">
        <v>6500</v>
      </c>
      <c r="M81" s="14">
        <f t="shared" si="11"/>
        <v>0</v>
      </c>
      <c r="N81" s="53"/>
      <c r="O81" s="62"/>
      <c r="P81" s="62"/>
      <c r="Q81" s="17">
        <f>K81-L81</f>
        <v>-6500</v>
      </c>
    </row>
    <row r="82" spans="1:18" s="28" customFormat="1" ht="51" x14ac:dyDescent="0.25">
      <c r="A82" s="93">
        <v>20</v>
      </c>
      <c r="B82" s="164">
        <v>200083</v>
      </c>
      <c r="C82" s="41" t="s">
        <v>239</v>
      </c>
      <c r="D82" s="179" t="s">
        <v>240</v>
      </c>
      <c r="E82" s="354">
        <v>13</v>
      </c>
      <c r="F82" s="72" t="s">
        <v>31</v>
      </c>
      <c r="G82" s="52" t="s">
        <v>241</v>
      </c>
      <c r="H82" s="72">
        <v>107500</v>
      </c>
      <c r="I82" s="158">
        <f t="shared" si="9"/>
        <v>107500</v>
      </c>
      <c r="J82" s="72">
        <v>0</v>
      </c>
      <c r="K82" s="162">
        <v>55000</v>
      </c>
      <c r="L82" s="163">
        <f>55000</f>
        <v>55000</v>
      </c>
      <c r="M82" s="215">
        <f t="shared" si="11"/>
        <v>52500</v>
      </c>
      <c r="N82" s="162">
        <f>M82</f>
        <v>52500</v>
      </c>
      <c r="O82" s="6"/>
      <c r="P82" s="6"/>
      <c r="Q82" s="6"/>
    </row>
    <row r="83" spans="1:18" s="28" customFormat="1" ht="51" x14ac:dyDescent="0.25">
      <c r="A83" s="93">
        <v>9</v>
      </c>
      <c r="B83" s="168">
        <v>200059</v>
      </c>
      <c r="C83" s="76" t="s">
        <v>219</v>
      </c>
      <c r="D83" s="106" t="s">
        <v>220</v>
      </c>
      <c r="E83" s="168">
        <v>13</v>
      </c>
      <c r="F83" s="52" t="s">
        <v>17</v>
      </c>
      <c r="G83" s="169" t="s">
        <v>204</v>
      </c>
      <c r="H83" s="169">
        <v>425000</v>
      </c>
      <c r="I83" s="158">
        <f t="shared" si="9"/>
        <v>150000</v>
      </c>
      <c r="J83" s="169">
        <v>275000</v>
      </c>
      <c r="K83" s="162"/>
      <c r="L83" s="163">
        <f>150000</f>
        <v>150000</v>
      </c>
      <c r="M83" s="215">
        <f t="shared" si="11"/>
        <v>0</v>
      </c>
      <c r="N83" s="162"/>
      <c r="O83" s="6"/>
      <c r="P83" s="6"/>
      <c r="Q83" s="6"/>
    </row>
    <row r="84" spans="1:18" s="28" customFormat="1" ht="60" x14ac:dyDescent="0.25">
      <c r="A84" s="93">
        <v>34</v>
      </c>
      <c r="B84" s="65">
        <v>200105</v>
      </c>
      <c r="C84" s="40" t="s">
        <v>265</v>
      </c>
      <c r="D84" s="65" t="s">
        <v>266</v>
      </c>
      <c r="E84" s="355">
        <v>13</v>
      </c>
      <c r="F84" s="72" t="s">
        <v>20</v>
      </c>
      <c r="G84" s="30" t="s">
        <v>204</v>
      </c>
      <c r="H84" s="72">
        <v>40000</v>
      </c>
      <c r="I84" s="158">
        <f t="shared" si="9"/>
        <v>40000</v>
      </c>
      <c r="J84" s="72">
        <v>0</v>
      </c>
      <c r="K84" s="162">
        <v>40000</v>
      </c>
      <c r="L84" s="163">
        <v>40000</v>
      </c>
      <c r="M84" s="215">
        <f t="shared" si="11"/>
        <v>0</v>
      </c>
      <c r="N84" s="162">
        <f>M84</f>
        <v>0</v>
      </c>
      <c r="O84" s="6"/>
      <c r="P84" s="6"/>
      <c r="Q84" s="6"/>
    </row>
    <row r="85" spans="1:18" s="66" customFormat="1" ht="60" x14ac:dyDescent="0.25">
      <c r="A85" s="93">
        <v>35</v>
      </c>
      <c r="B85" s="164">
        <v>200106</v>
      </c>
      <c r="C85" s="182" t="s">
        <v>267</v>
      </c>
      <c r="D85" s="190" t="s">
        <v>268</v>
      </c>
      <c r="E85" s="356">
        <v>13</v>
      </c>
      <c r="F85" s="72" t="s">
        <v>20</v>
      </c>
      <c r="G85" s="30" t="s">
        <v>204</v>
      </c>
      <c r="H85" s="72">
        <v>200000</v>
      </c>
      <c r="I85" s="158">
        <f t="shared" si="9"/>
        <v>200000</v>
      </c>
      <c r="J85" s="72">
        <v>0</v>
      </c>
      <c r="K85" s="162">
        <v>200000</v>
      </c>
      <c r="L85" s="163">
        <f>200000</f>
        <v>200000</v>
      </c>
      <c r="M85" s="215">
        <f t="shared" si="11"/>
        <v>0</v>
      </c>
      <c r="N85" s="162">
        <f>M85</f>
        <v>0</v>
      </c>
      <c r="O85" s="6"/>
      <c r="P85" s="6"/>
      <c r="Q85" s="6"/>
      <c r="R85" s="118"/>
    </row>
    <row r="86" spans="1:18" s="66" customFormat="1" ht="105" x14ac:dyDescent="0.25">
      <c r="A86" s="93">
        <v>63</v>
      </c>
      <c r="B86" s="67">
        <v>1617200034</v>
      </c>
      <c r="C86" s="67" t="s">
        <v>69</v>
      </c>
      <c r="D86" s="67" t="s">
        <v>337</v>
      </c>
      <c r="E86" s="353">
        <v>13</v>
      </c>
      <c r="F86" s="72" t="s">
        <v>31</v>
      </c>
      <c r="G86" s="85" t="s">
        <v>204</v>
      </c>
      <c r="H86" s="200"/>
      <c r="I86" s="158">
        <f t="shared" si="9"/>
        <v>0</v>
      </c>
      <c r="J86" s="198"/>
      <c r="K86" s="198"/>
      <c r="L86" s="198"/>
      <c r="M86" s="215">
        <f t="shared" si="11"/>
        <v>0</v>
      </c>
      <c r="N86" s="162">
        <v>0</v>
      </c>
      <c r="O86" s="6"/>
      <c r="P86" s="6"/>
      <c r="Q86" s="6"/>
    </row>
    <row r="87" spans="1:18" s="28" customFormat="1" ht="45" x14ac:dyDescent="0.25">
      <c r="A87" s="93">
        <v>65</v>
      </c>
      <c r="B87" s="67">
        <v>1617200040</v>
      </c>
      <c r="C87" s="67" t="s">
        <v>69</v>
      </c>
      <c r="D87" s="67" t="s">
        <v>345</v>
      </c>
      <c r="E87" s="353">
        <v>13</v>
      </c>
      <c r="F87" s="72" t="s">
        <v>17</v>
      </c>
      <c r="G87" s="85" t="s">
        <v>204</v>
      </c>
      <c r="H87" s="73">
        <v>499500</v>
      </c>
      <c r="I87" s="158">
        <f t="shared" si="9"/>
        <v>499500</v>
      </c>
      <c r="J87" s="72">
        <v>0</v>
      </c>
      <c r="K87" s="162">
        <v>499500</v>
      </c>
      <c r="L87" s="163">
        <v>499500</v>
      </c>
      <c r="M87" s="215">
        <f t="shared" si="11"/>
        <v>0</v>
      </c>
      <c r="N87" s="162">
        <f t="shared" ref="N87:N92" si="12">M87</f>
        <v>0</v>
      </c>
      <c r="O87" s="6"/>
      <c r="P87" s="6"/>
      <c r="Q87" s="6"/>
    </row>
    <row r="88" spans="1:18" ht="60" x14ac:dyDescent="0.25">
      <c r="A88" s="93">
        <v>73</v>
      </c>
      <c r="B88" s="181"/>
      <c r="C88" s="180" t="s">
        <v>385</v>
      </c>
      <c r="D88" s="208" t="s">
        <v>386</v>
      </c>
      <c r="E88" s="357">
        <v>13</v>
      </c>
      <c r="F88" s="162" t="s">
        <v>20</v>
      </c>
      <c r="G88" s="67" t="s">
        <v>204</v>
      </c>
      <c r="H88" s="162">
        <v>35300</v>
      </c>
      <c r="I88" s="158">
        <f t="shared" si="9"/>
        <v>35300</v>
      </c>
      <c r="J88" s="162">
        <v>0</v>
      </c>
      <c r="K88" s="162">
        <v>35300</v>
      </c>
      <c r="L88" s="163">
        <v>35300</v>
      </c>
      <c r="M88" s="215">
        <f t="shared" si="11"/>
        <v>0</v>
      </c>
      <c r="N88" s="162">
        <f t="shared" si="12"/>
        <v>0</v>
      </c>
    </row>
    <row r="89" spans="1:18" ht="60" x14ac:dyDescent="0.25">
      <c r="A89" s="93">
        <v>26</v>
      </c>
      <c r="B89" s="164">
        <v>200092</v>
      </c>
      <c r="C89" s="78" t="s">
        <v>252</v>
      </c>
      <c r="D89" s="165" t="s">
        <v>253</v>
      </c>
      <c r="E89" s="358">
        <v>14</v>
      </c>
      <c r="F89" s="72" t="s">
        <v>31</v>
      </c>
      <c r="G89" s="30" t="s">
        <v>204</v>
      </c>
      <c r="H89" s="72">
        <v>688000</v>
      </c>
      <c r="I89" s="158">
        <f t="shared" si="9"/>
        <v>688000</v>
      </c>
      <c r="J89" s="72">
        <v>0</v>
      </c>
      <c r="K89" s="162">
        <f>258000+258000</f>
        <v>516000</v>
      </c>
      <c r="L89" s="163">
        <f>258000+258000</f>
        <v>516000</v>
      </c>
      <c r="M89" s="215">
        <f t="shared" si="11"/>
        <v>172000</v>
      </c>
      <c r="N89" s="162">
        <f t="shared" si="12"/>
        <v>172000</v>
      </c>
    </row>
    <row r="90" spans="1:18" ht="60" x14ac:dyDescent="0.25">
      <c r="A90" s="93">
        <v>29</v>
      </c>
      <c r="B90" s="164">
        <v>200096</v>
      </c>
      <c r="C90" s="182" t="s">
        <v>69</v>
      </c>
      <c r="D90" s="180" t="s">
        <v>258</v>
      </c>
      <c r="E90" s="359">
        <v>14</v>
      </c>
      <c r="F90" s="72" t="s">
        <v>31</v>
      </c>
      <c r="G90" s="65" t="s">
        <v>204</v>
      </c>
      <c r="H90" s="72">
        <v>475000</v>
      </c>
      <c r="I90" s="158">
        <f t="shared" si="9"/>
        <v>475000</v>
      </c>
      <c r="J90" s="72">
        <v>0</v>
      </c>
      <c r="K90" s="162">
        <v>158000</v>
      </c>
      <c r="L90" s="163">
        <v>158000</v>
      </c>
      <c r="M90" s="215">
        <f t="shared" si="11"/>
        <v>317000</v>
      </c>
      <c r="N90" s="162">
        <f t="shared" si="12"/>
        <v>317000</v>
      </c>
    </row>
    <row r="91" spans="1:18" ht="60" x14ac:dyDescent="0.25">
      <c r="A91" s="93">
        <v>39</v>
      </c>
      <c r="B91" s="164">
        <v>200112</v>
      </c>
      <c r="C91" s="182" t="s">
        <v>277</v>
      </c>
      <c r="D91" s="190" t="s">
        <v>278</v>
      </c>
      <c r="E91" s="356">
        <v>14</v>
      </c>
      <c r="F91" s="72" t="s">
        <v>31</v>
      </c>
      <c r="G91" s="67" t="s">
        <v>204</v>
      </c>
      <c r="H91" s="72">
        <v>724966</v>
      </c>
      <c r="I91" s="158">
        <f t="shared" si="9"/>
        <v>724966</v>
      </c>
      <c r="J91" s="72">
        <v>0</v>
      </c>
      <c r="K91" s="162">
        <f>241000+241000</f>
        <v>482000</v>
      </c>
      <c r="L91" s="163">
        <f>241000+241000</f>
        <v>482000</v>
      </c>
      <c r="M91" s="215">
        <f t="shared" si="11"/>
        <v>242966</v>
      </c>
      <c r="N91" s="162">
        <f t="shared" si="12"/>
        <v>242966</v>
      </c>
    </row>
    <row r="92" spans="1:18" ht="38.25" x14ac:dyDescent="0.25">
      <c r="A92" s="93">
        <v>71</v>
      </c>
      <c r="B92" s="167" t="s">
        <v>380</v>
      </c>
      <c r="C92" s="201" t="s">
        <v>381</v>
      </c>
      <c r="D92" s="202" t="s">
        <v>382</v>
      </c>
      <c r="E92" s="360">
        <v>14</v>
      </c>
      <c r="F92" s="132" t="s">
        <v>31</v>
      </c>
      <c r="G92" s="52" t="s">
        <v>204</v>
      </c>
      <c r="H92" s="158">
        <v>3685979</v>
      </c>
      <c r="I92" s="158">
        <f t="shared" si="9"/>
        <v>2622002</v>
      </c>
      <c r="J92" s="159">
        <v>1063977</v>
      </c>
      <c r="K92" s="52">
        <f>792073+23070.11+662420+33042.34</f>
        <v>1510605.45</v>
      </c>
      <c r="L92" s="203">
        <f>813605.44+665881.4+630008.85</f>
        <v>2109495.69</v>
      </c>
      <c r="M92" s="215">
        <f t="shared" si="11"/>
        <v>512506.31000000006</v>
      </c>
      <c r="N92" s="162">
        <f t="shared" si="12"/>
        <v>512506.31000000006</v>
      </c>
    </row>
    <row r="93" spans="1:18" ht="25.5" x14ac:dyDescent="0.25">
      <c r="A93" s="93">
        <v>2</v>
      </c>
      <c r="B93" s="157">
        <v>200016</v>
      </c>
      <c r="C93" s="132" t="s">
        <v>205</v>
      </c>
      <c r="D93" s="106" t="s">
        <v>206</v>
      </c>
      <c r="E93" s="168">
        <v>15</v>
      </c>
      <c r="F93" s="160" t="s">
        <v>17</v>
      </c>
      <c r="G93" s="158" t="s">
        <v>204</v>
      </c>
      <c r="H93" s="158">
        <v>350000</v>
      </c>
      <c r="I93" s="158">
        <f t="shared" si="9"/>
        <v>50000</v>
      </c>
      <c r="J93" s="158">
        <v>300000</v>
      </c>
      <c r="K93" s="162"/>
      <c r="L93" s="163">
        <v>50000</v>
      </c>
      <c r="M93" s="215">
        <f t="shared" si="11"/>
        <v>0</v>
      </c>
      <c r="N93" s="162"/>
    </row>
    <row r="94" spans="1:18" ht="60" x14ac:dyDescent="0.25">
      <c r="A94" s="93">
        <v>3</v>
      </c>
      <c r="B94" s="65">
        <v>200041</v>
      </c>
      <c r="C94" s="72" t="s">
        <v>207</v>
      </c>
      <c r="D94" s="65" t="s">
        <v>208</v>
      </c>
      <c r="E94" s="355">
        <v>15</v>
      </c>
      <c r="F94" s="72" t="s">
        <v>17</v>
      </c>
      <c r="G94" s="30" t="s">
        <v>204</v>
      </c>
      <c r="H94" s="72">
        <v>499500</v>
      </c>
      <c r="I94" s="158">
        <f t="shared" si="9"/>
        <v>34500</v>
      </c>
      <c r="J94" s="72">
        <v>465000</v>
      </c>
      <c r="K94" s="162">
        <v>34500</v>
      </c>
      <c r="L94" s="163">
        <f>34500</f>
        <v>34500</v>
      </c>
      <c r="M94" s="215">
        <f t="shared" si="11"/>
        <v>0</v>
      </c>
      <c r="N94" s="162">
        <f>M94</f>
        <v>0</v>
      </c>
    </row>
    <row r="95" spans="1:18" ht="60" x14ac:dyDescent="0.25">
      <c r="A95" s="93">
        <v>4</v>
      </c>
      <c r="B95" s="164">
        <v>200043</v>
      </c>
      <c r="C95" s="164" t="s">
        <v>209</v>
      </c>
      <c r="D95" s="165" t="s">
        <v>210</v>
      </c>
      <c r="E95" s="358">
        <v>15</v>
      </c>
      <c r="F95" s="72" t="s">
        <v>17</v>
      </c>
      <c r="G95" s="21" t="s">
        <v>204</v>
      </c>
      <c r="H95" s="72">
        <v>325000</v>
      </c>
      <c r="I95" s="158">
        <f t="shared" si="9"/>
        <v>125000</v>
      </c>
      <c r="J95" s="72">
        <f>100000+100000</f>
        <v>200000</v>
      </c>
      <c r="K95" s="162">
        <v>100000</v>
      </c>
      <c r="L95" s="163">
        <f>25000+100000</f>
        <v>125000</v>
      </c>
      <c r="M95" s="215">
        <f t="shared" si="11"/>
        <v>0</v>
      </c>
      <c r="N95" s="162">
        <f>M95</f>
        <v>0</v>
      </c>
    </row>
    <row r="96" spans="1:18" ht="38.25" x14ac:dyDescent="0.25">
      <c r="A96" s="93">
        <v>5</v>
      </c>
      <c r="B96" s="164">
        <v>200044</v>
      </c>
      <c r="C96" s="164" t="s">
        <v>211</v>
      </c>
      <c r="D96" s="75" t="s">
        <v>212</v>
      </c>
      <c r="E96" s="358">
        <v>15</v>
      </c>
      <c r="F96" s="72" t="s">
        <v>17</v>
      </c>
      <c r="G96" s="52" t="s">
        <v>204</v>
      </c>
      <c r="H96" s="166">
        <v>499000</v>
      </c>
      <c r="I96" s="158">
        <f t="shared" si="9"/>
        <v>33000</v>
      </c>
      <c r="J96" s="105">
        <v>466000</v>
      </c>
      <c r="K96" s="162">
        <v>33000</v>
      </c>
      <c r="L96" s="163">
        <v>33000</v>
      </c>
      <c r="M96" s="215">
        <f t="shared" si="11"/>
        <v>0</v>
      </c>
      <c r="N96" s="162">
        <f>M96</f>
        <v>0</v>
      </c>
    </row>
    <row r="97" spans="1:14" ht="60" x14ac:dyDescent="0.25">
      <c r="A97" s="93">
        <v>7</v>
      </c>
      <c r="B97" s="65">
        <v>200052</v>
      </c>
      <c r="C97" s="65" t="s">
        <v>215</v>
      </c>
      <c r="D97" s="65" t="s">
        <v>216</v>
      </c>
      <c r="E97" s="355">
        <v>15</v>
      </c>
      <c r="F97" s="72" t="s">
        <v>17</v>
      </c>
      <c r="G97" s="21" t="s">
        <v>204</v>
      </c>
      <c r="H97" s="72">
        <v>180000</v>
      </c>
      <c r="I97" s="158">
        <f t="shared" si="9"/>
        <v>20000</v>
      </c>
      <c r="J97" s="72">
        <v>160000</v>
      </c>
      <c r="K97" s="162">
        <v>20000</v>
      </c>
      <c r="L97" s="163">
        <v>20000</v>
      </c>
      <c r="M97" s="215">
        <f t="shared" si="11"/>
        <v>0</v>
      </c>
      <c r="N97" s="162">
        <f>M97</f>
        <v>0</v>
      </c>
    </row>
    <row r="98" spans="1:14" ht="38.25" x14ac:dyDescent="0.25">
      <c r="A98" s="93">
        <v>8</v>
      </c>
      <c r="B98" s="167">
        <v>200057</v>
      </c>
      <c r="C98" s="79" t="s">
        <v>217</v>
      </c>
      <c r="D98" s="106" t="s">
        <v>218</v>
      </c>
      <c r="E98" s="168">
        <v>15</v>
      </c>
      <c r="F98" s="52" t="s">
        <v>31</v>
      </c>
      <c r="G98" s="105" t="s">
        <v>204</v>
      </c>
      <c r="H98" s="105">
        <v>499500</v>
      </c>
      <c r="I98" s="158">
        <f t="shared" si="9"/>
        <v>193000</v>
      </c>
      <c r="J98" s="105">
        <v>306500</v>
      </c>
      <c r="K98" s="162"/>
      <c r="L98" s="163">
        <f>150000+43000</f>
        <v>193000</v>
      </c>
      <c r="M98" s="215">
        <f t="shared" si="11"/>
        <v>0</v>
      </c>
      <c r="N98" s="162"/>
    </row>
    <row r="99" spans="1:14" ht="38.25" x14ac:dyDescent="0.25">
      <c r="A99" s="93">
        <v>10</v>
      </c>
      <c r="B99" s="167">
        <v>200060</v>
      </c>
      <c r="C99" s="79" t="s">
        <v>221</v>
      </c>
      <c r="D99" s="106" t="s">
        <v>222</v>
      </c>
      <c r="E99" s="168">
        <v>15</v>
      </c>
      <c r="F99" s="52" t="s">
        <v>17</v>
      </c>
      <c r="G99" s="105" t="s">
        <v>204</v>
      </c>
      <c r="H99" s="105">
        <v>411554</v>
      </c>
      <c r="I99" s="158">
        <f t="shared" si="9"/>
        <v>11554</v>
      </c>
      <c r="J99" s="169">
        <f>200000+200000</f>
        <v>400000</v>
      </c>
      <c r="K99" s="162"/>
      <c r="L99" s="163">
        <v>11000</v>
      </c>
      <c r="M99" s="215">
        <f t="shared" si="11"/>
        <v>554</v>
      </c>
      <c r="N99" s="162"/>
    </row>
    <row r="100" spans="1:14" ht="60" x14ac:dyDescent="0.25">
      <c r="A100" s="93">
        <v>12</v>
      </c>
      <c r="B100" s="85">
        <v>200065</v>
      </c>
      <c r="C100" s="52" t="s">
        <v>225</v>
      </c>
      <c r="D100" s="160" t="s">
        <v>226</v>
      </c>
      <c r="E100" s="93">
        <v>15</v>
      </c>
      <c r="F100" s="170" t="s">
        <v>17</v>
      </c>
      <c r="G100" s="60" t="s">
        <v>204</v>
      </c>
      <c r="H100" s="100">
        <v>239000</v>
      </c>
      <c r="I100" s="158">
        <f t="shared" ref="I100:I131" si="13">H100-J100</f>
        <v>99000</v>
      </c>
      <c r="J100" s="100">
        <v>140000</v>
      </c>
      <c r="K100" s="103">
        <v>99000</v>
      </c>
      <c r="L100" s="171">
        <f>99000</f>
        <v>99000</v>
      </c>
      <c r="M100" s="215">
        <f t="shared" si="11"/>
        <v>0</v>
      </c>
      <c r="N100" s="162">
        <f>M100</f>
        <v>0</v>
      </c>
    </row>
    <row r="101" spans="1:14" ht="60" x14ac:dyDescent="0.25">
      <c r="A101" s="93">
        <v>14</v>
      </c>
      <c r="B101" s="172">
        <v>200071</v>
      </c>
      <c r="C101" s="173" t="s">
        <v>229</v>
      </c>
      <c r="D101" s="174" t="s">
        <v>230</v>
      </c>
      <c r="E101" s="361">
        <v>15</v>
      </c>
      <c r="F101" s="72" t="s">
        <v>31</v>
      </c>
      <c r="G101" s="30" t="s">
        <v>204</v>
      </c>
      <c r="H101" s="72">
        <v>500000</v>
      </c>
      <c r="I101" s="158">
        <f t="shared" si="13"/>
        <v>300000</v>
      </c>
      <c r="J101" s="72">
        <v>200000</v>
      </c>
      <c r="K101" s="162">
        <v>100000</v>
      </c>
      <c r="L101" s="163">
        <f>190000+100000</f>
        <v>290000</v>
      </c>
      <c r="M101" s="215">
        <f t="shared" si="11"/>
        <v>10000</v>
      </c>
      <c r="N101" s="162">
        <v>0</v>
      </c>
    </row>
    <row r="102" spans="1:14" ht="60" x14ac:dyDescent="0.25">
      <c r="A102" s="93">
        <v>15</v>
      </c>
      <c r="B102" s="167">
        <v>200072</v>
      </c>
      <c r="C102" s="79" t="s">
        <v>231</v>
      </c>
      <c r="D102" s="106" t="s">
        <v>232</v>
      </c>
      <c r="E102" s="168">
        <v>15</v>
      </c>
      <c r="F102" s="162" t="s">
        <v>31</v>
      </c>
      <c r="G102" s="175" t="s">
        <v>204</v>
      </c>
      <c r="H102" s="105">
        <v>287000</v>
      </c>
      <c r="I102" s="158">
        <f t="shared" si="13"/>
        <v>137000</v>
      </c>
      <c r="J102" s="169">
        <v>150000</v>
      </c>
      <c r="K102" s="176">
        <v>100000</v>
      </c>
      <c r="L102" s="161">
        <v>100000</v>
      </c>
      <c r="M102" s="215">
        <f t="shared" si="11"/>
        <v>37000</v>
      </c>
      <c r="N102" s="162">
        <f>M102</f>
        <v>37000</v>
      </c>
    </row>
    <row r="103" spans="1:14" ht="60" x14ac:dyDescent="0.25">
      <c r="A103" s="93">
        <v>16</v>
      </c>
      <c r="B103" s="65">
        <v>200072</v>
      </c>
      <c r="C103" s="72" t="s">
        <v>233</v>
      </c>
      <c r="D103" s="176" t="s">
        <v>234</v>
      </c>
      <c r="E103" s="167">
        <v>15</v>
      </c>
      <c r="F103" s="72" t="s">
        <v>31</v>
      </c>
      <c r="G103" s="175" t="s">
        <v>204</v>
      </c>
      <c r="H103" s="72">
        <v>268000</v>
      </c>
      <c r="I103" s="158">
        <f t="shared" si="13"/>
        <v>118000</v>
      </c>
      <c r="J103" s="72">
        <v>150000</v>
      </c>
      <c r="K103" s="162">
        <v>88000</v>
      </c>
      <c r="L103" s="163">
        <f>88000</f>
        <v>88000</v>
      </c>
      <c r="M103" s="215">
        <f t="shared" si="11"/>
        <v>30000</v>
      </c>
      <c r="N103" s="162">
        <f>M103</f>
        <v>30000</v>
      </c>
    </row>
    <row r="104" spans="1:14" ht="38.25" x14ac:dyDescent="0.25">
      <c r="A104" s="93">
        <v>17</v>
      </c>
      <c r="B104" s="167">
        <v>200074</v>
      </c>
      <c r="C104" s="79" t="s">
        <v>235</v>
      </c>
      <c r="D104" s="106" t="s">
        <v>232</v>
      </c>
      <c r="E104" s="168">
        <v>15</v>
      </c>
      <c r="F104" s="52" t="s">
        <v>31</v>
      </c>
      <c r="G104" s="105" t="s">
        <v>204</v>
      </c>
      <c r="H104" s="105">
        <v>325000</v>
      </c>
      <c r="I104" s="158">
        <f t="shared" si="13"/>
        <v>175000</v>
      </c>
      <c r="J104" s="177">
        <v>150000</v>
      </c>
      <c r="K104" s="162"/>
      <c r="L104" s="163">
        <f>125000</f>
        <v>125000</v>
      </c>
      <c r="M104" s="215">
        <f t="shared" si="11"/>
        <v>50000</v>
      </c>
      <c r="N104" s="162"/>
    </row>
    <row r="105" spans="1:14" ht="60" x14ac:dyDescent="0.25">
      <c r="A105" s="93">
        <v>18</v>
      </c>
      <c r="B105" s="65">
        <v>200075</v>
      </c>
      <c r="C105" s="72" t="s">
        <v>236</v>
      </c>
      <c r="D105" s="65" t="s">
        <v>232</v>
      </c>
      <c r="E105" s="355">
        <v>15</v>
      </c>
      <c r="F105" s="72" t="s">
        <v>31</v>
      </c>
      <c r="G105" s="60" t="s">
        <v>204</v>
      </c>
      <c r="H105" s="72">
        <v>251000</v>
      </c>
      <c r="I105" s="158">
        <f t="shared" si="13"/>
        <v>101000</v>
      </c>
      <c r="J105" s="72">
        <v>150000</v>
      </c>
      <c r="K105" s="162">
        <v>80000</v>
      </c>
      <c r="L105" s="163">
        <f>80000</f>
        <v>80000</v>
      </c>
      <c r="M105" s="215">
        <f t="shared" si="11"/>
        <v>21000</v>
      </c>
      <c r="N105" s="162">
        <f t="shared" ref="N105:N111" si="14">M105</f>
        <v>21000</v>
      </c>
    </row>
    <row r="106" spans="1:14" ht="60" x14ac:dyDescent="0.25">
      <c r="A106" s="93">
        <v>21</v>
      </c>
      <c r="B106" s="65">
        <v>200084</v>
      </c>
      <c r="C106" s="40" t="s">
        <v>242</v>
      </c>
      <c r="D106" s="65" t="s">
        <v>243</v>
      </c>
      <c r="E106" s="355">
        <v>15</v>
      </c>
      <c r="F106" s="72" t="s">
        <v>31</v>
      </c>
      <c r="G106" s="30" t="s">
        <v>204</v>
      </c>
      <c r="H106" s="72">
        <v>470000</v>
      </c>
      <c r="I106" s="158">
        <f t="shared" si="13"/>
        <v>470000</v>
      </c>
      <c r="J106" s="160">
        <v>0</v>
      </c>
      <c r="K106" s="72">
        <f>150000+150000</f>
        <v>300000</v>
      </c>
      <c r="L106" s="163">
        <f>150000+150000</f>
        <v>300000</v>
      </c>
      <c r="M106" s="215">
        <f t="shared" si="11"/>
        <v>170000</v>
      </c>
      <c r="N106" s="162">
        <f t="shared" si="14"/>
        <v>170000</v>
      </c>
    </row>
    <row r="107" spans="1:14" ht="60" x14ac:dyDescent="0.25">
      <c r="A107" s="93">
        <v>27</v>
      </c>
      <c r="B107" s="181">
        <v>200093</v>
      </c>
      <c r="C107" s="180" t="s">
        <v>254</v>
      </c>
      <c r="D107" s="180" t="s">
        <v>255</v>
      </c>
      <c r="E107" s="359">
        <v>15</v>
      </c>
      <c r="F107" s="162" t="s">
        <v>17</v>
      </c>
      <c r="G107" s="30" t="s">
        <v>204</v>
      </c>
      <c r="H107" s="162">
        <v>207730</v>
      </c>
      <c r="I107" s="158">
        <f t="shared" si="13"/>
        <v>207730</v>
      </c>
      <c r="J107" s="162">
        <v>0</v>
      </c>
      <c r="K107" s="162">
        <f>70000+70000+67730</f>
        <v>207730</v>
      </c>
      <c r="L107" s="163">
        <f>70000+70000+67730</f>
        <v>207730</v>
      </c>
      <c r="M107" s="215">
        <f t="shared" si="11"/>
        <v>0</v>
      </c>
      <c r="N107" s="162">
        <f t="shared" si="14"/>
        <v>0</v>
      </c>
    </row>
    <row r="108" spans="1:14" ht="60" x14ac:dyDescent="0.25">
      <c r="A108" s="93">
        <v>28</v>
      </c>
      <c r="B108" s="164">
        <v>200094</v>
      </c>
      <c r="C108" s="182" t="s">
        <v>256</v>
      </c>
      <c r="D108" s="180" t="s">
        <v>257</v>
      </c>
      <c r="E108" s="359">
        <v>15</v>
      </c>
      <c r="F108" s="72" t="s">
        <v>31</v>
      </c>
      <c r="G108" s="175" t="s">
        <v>204</v>
      </c>
      <c r="H108" s="72">
        <v>251120</v>
      </c>
      <c r="I108" s="158">
        <f t="shared" si="13"/>
        <v>251120</v>
      </c>
      <c r="J108" s="72">
        <v>0</v>
      </c>
      <c r="K108" s="162">
        <v>85000</v>
      </c>
      <c r="L108" s="163">
        <f>85000</f>
        <v>85000</v>
      </c>
      <c r="M108" s="215">
        <f t="shared" si="11"/>
        <v>166120</v>
      </c>
      <c r="N108" s="162">
        <f t="shared" si="14"/>
        <v>166120</v>
      </c>
    </row>
    <row r="109" spans="1:14" ht="60" x14ac:dyDescent="0.25">
      <c r="A109" s="93">
        <v>33</v>
      </c>
      <c r="B109" s="187">
        <v>200103</v>
      </c>
      <c r="C109" s="188" t="s">
        <v>263</v>
      </c>
      <c r="D109" s="189" t="s">
        <v>264</v>
      </c>
      <c r="E109" s="359">
        <v>15</v>
      </c>
      <c r="F109" s="72" t="s">
        <v>31</v>
      </c>
      <c r="G109" s="67" t="s">
        <v>204</v>
      </c>
      <c r="H109" s="72">
        <v>378244</v>
      </c>
      <c r="I109" s="158">
        <f t="shared" si="13"/>
        <v>378244</v>
      </c>
      <c r="J109" s="72">
        <v>0</v>
      </c>
      <c r="K109" s="162">
        <v>126000</v>
      </c>
      <c r="L109" s="163">
        <f>126000+150000</f>
        <v>276000</v>
      </c>
      <c r="M109" s="215">
        <f t="shared" si="11"/>
        <v>102244</v>
      </c>
      <c r="N109" s="162">
        <f t="shared" si="14"/>
        <v>102244</v>
      </c>
    </row>
    <row r="110" spans="1:14" ht="60" x14ac:dyDescent="0.25">
      <c r="A110" s="93">
        <v>36</v>
      </c>
      <c r="B110" s="164">
        <v>200109</v>
      </c>
      <c r="C110" s="182" t="s">
        <v>271</v>
      </c>
      <c r="D110" s="190" t="s">
        <v>272</v>
      </c>
      <c r="E110" s="356">
        <v>15</v>
      </c>
      <c r="F110" s="72" t="s">
        <v>31</v>
      </c>
      <c r="G110" s="30" t="s">
        <v>204</v>
      </c>
      <c r="H110" s="72">
        <v>462274</v>
      </c>
      <c r="I110" s="158">
        <f t="shared" si="13"/>
        <v>462274</v>
      </c>
      <c r="J110" s="72">
        <v>0</v>
      </c>
      <c r="K110" s="162">
        <f>154000+150000</f>
        <v>304000</v>
      </c>
      <c r="L110" s="163">
        <f>154000+150000</f>
        <v>304000</v>
      </c>
      <c r="M110" s="215">
        <f t="shared" si="11"/>
        <v>158274</v>
      </c>
      <c r="N110" s="162">
        <f t="shared" si="14"/>
        <v>158274</v>
      </c>
    </row>
    <row r="111" spans="1:14" ht="75" x14ac:dyDescent="0.25">
      <c r="A111" s="93">
        <v>37</v>
      </c>
      <c r="B111" s="164">
        <v>200110</v>
      </c>
      <c r="C111" s="182" t="s">
        <v>273</v>
      </c>
      <c r="D111" s="190" t="s">
        <v>274</v>
      </c>
      <c r="E111" s="356">
        <v>15</v>
      </c>
      <c r="F111" s="72" t="s">
        <v>17</v>
      </c>
      <c r="G111" s="52" t="s">
        <v>204</v>
      </c>
      <c r="H111" s="72">
        <v>734000</v>
      </c>
      <c r="I111" s="158">
        <f t="shared" si="13"/>
        <v>734000</v>
      </c>
      <c r="J111" s="72">
        <v>0</v>
      </c>
      <c r="K111" s="162">
        <f>244000+244000+246000</f>
        <v>734000</v>
      </c>
      <c r="L111" s="163">
        <f>244000+244000+246000</f>
        <v>734000</v>
      </c>
      <c r="M111" s="215">
        <f t="shared" si="11"/>
        <v>0</v>
      </c>
      <c r="N111" s="162">
        <f t="shared" si="14"/>
        <v>0</v>
      </c>
    </row>
    <row r="112" spans="1:14" ht="60" x14ac:dyDescent="0.25">
      <c r="A112" s="93">
        <v>38</v>
      </c>
      <c r="B112" s="164">
        <v>200111</v>
      </c>
      <c r="C112" s="182" t="s">
        <v>275</v>
      </c>
      <c r="D112" s="191" t="s">
        <v>276</v>
      </c>
      <c r="E112" s="362">
        <v>15</v>
      </c>
      <c r="F112" s="72" t="s">
        <v>31</v>
      </c>
      <c r="G112" s="186" t="s">
        <v>204</v>
      </c>
      <c r="H112" s="72">
        <v>894745</v>
      </c>
      <c r="I112" s="158">
        <f t="shared" si="13"/>
        <v>894745</v>
      </c>
      <c r="J112" s="72">
        <v>0</v>
      </c>
      <c r="K112" s="162">
        <v>298000</v>
      </c>
      <c r="L112" s="163">
        <f>298000</f>
        <v>298000</v>
      </c>
      <c r="M112" s="215">
        <f t="shared" ref="M112:M143" si="15">H112-(J112+L112)</f>
        <v>596745</v>
      </c>
      <c r="N112" s="162">
        <f>M112/3</f>
        <v>198915</v>
      </c>
    </row>
    <row r="113" spans="1:14" ht="75" x14ac:dyDescent="0.25">
      <c r="A113" s="93">
        <v>40</v>
      </c>
      <c r="B113" s="164">
        <v>200113</v>
      </c>
      <c r="C113" s="182" t="s">
        <v>279</v>
      </c>
      <c r="D113" s="190" t="s">
        <v>280</v>
      </c>
      <c r="E113" s="356">
        <v>15</v>
      </c>
      <c r="F113" s="72" t="s">
        <v>31</v>
      </c>
      <c r="G113" s="41" t="s">
        <v>204</v>
      </c>
      <c r="H113" s="72">
        <v>500000</v>
      </c>
      <c r="I113" s="158">
        <f t="shared" si="13"/>
        <v>500000</v>
      </c>
      <c r="J113" s="72">
        <v>0</v>
      </c>
      <c r="K113" s="162">
        <f>170000+170000</f>
        <v>340000</v>
      </c>
      <c r="L113" s="163">
        <f>170000+170000</f>
        <v>340000</v>
      </c>
      <c r="M113" s="215">
        <f t="shared" si="15"/>
        <v>160000</v>
      </c>
      <c r="N113" s="162">
        <f>M113</f>
        <v>160000</v>
      </c>
    </row>
    <row r="114" spans="1:14" ht="75" x14ac:dyDescent="0.25">
      <c r="A114" s="93">
        <v>45</v>
      </c>
      <c r="B114" s="131">
        <v>1617200007</v>
      </c>
      <c r="C114" s="195" t="s">
        <v>291</v>
      </c>
      <c r="D114" s="190" t="s">
        <v>292</v>
      </c>
      <c r="E114" s="356">
        <v>15</v>
      </c>
      <c r="F114" s="72" t="s">
        <v>31</v>
      </c>
      <c r="G114" s="67" t="s">
        <v>204</v>
      </c>
      <c r="H114" s="72">
        <v>363399</v>
      </c>
      <c r="I114" s="158">
        <f t="shared" si="13"/>
        <v>363399</v>
      </c>
      <c r="J114" s="72">
        <v>0</v>
      </c>
      <c r="K114" s="162">
        <v>120000</v>
      </c>
      <c r="L114" s="163">
        <f>120000+120000</f>
        <v>240000</v>
      </c>
      <c r="M114" s="215">
        <f t="shared" si="15"/>
        <v>123399</v>
      </c>
      <c r="N114" s="162">
        <f>M114</f>
        <v>123399</v>
      </c>
    </row>
    <row r="115" spans="1:14" ht="60" x14ac:dyDescent="0.25">
      <c r="A115" s="93">
        <v>46</v>
      </c>
      <c r="B115" s="187">
        <v>1617200008</v>
      </c>
      <c r="C115" s="188" t="s">
        <v>293</v>
      </c>
      <c r="D115" s="189" t="s">
        <v>294</v>
      </c>
      <c r="E115" s="359">
        <v>15</v>
      </c>
      <c r="F115" s="72" t="s">
        <v>31</v>
      </c>
      <c r="G115" s="67" t="s">
        <v>204</v>
      </c>
      <c r="H115" s="72">
        <v>397413</v>
      </c>
      <c r="I115" s="158">
        <f t="shared" si="13"/>
        <v>397413</v>
      </c>
      <c r="J115" s="72">
        <v>0</v>
      </c>
      <c r="K115" s="162">
        <v>130000</v>
      </c>
      <c r="L115" s="163">
        <f>130000+150000</f>
        <v>280000</v>
      </c>
      <c r="M115" s="215">
        <f t="shared" si="15"/>
        <v>117413</v>
      </c>
      <c r="N115" s="162">
        <f>M115</f>
        <v>117413</v>
      </c>
    </row>
    <row r="116" spans="1:14" ht="45" x14ac:dyDescent="0.25">
      <c r="A116" s="93">
        <v>49</v>
      </c>
      <c r="B116" s="72">
        <v>1617200016</v>
      </c>
      <c r="C116" s="65" t="s">
        <v>304</v>
      </c>
      <c r="D116" s="65" t="s">
        <v>305</v>
      </c>
      <c r="E116" s="355">
        <v>15</v>
      </c>
      <c r="F116" s="162" t="s">
        <v>31</v>
      </c>
      <c r="G116" s="85" t="s">
        <v>204</v>
      </c>
      <c r="H116" s="72">
        <v>170602</v>
      </c>
      <c r="I116" s="158">
        <f t="shared" si="13"/>
        <v>170602</v>
      </c>
      <c r="J116" s="162">
        <v>0</v>
      </c>
      <c r="K116" s="162">
        <f>85000+80000</f>
        <v>165000</v>
      </c>
      <c r="L116" s="163">
        <f>85000+80000</f>
        <v>165000</v>
      </c>
      <c r="M116" s="215">
        <f t="shared" si="15"/>
        <v>5602</v>
      </c>
      <c r="N116" s="162">
        <v>0</v>
      </c>
    </row>
    <row r="117" spans="1:14" ht="38.25" x14ac:dyDescent="0.25">
      <c r="A117" s="93">
        <v>54</v>
      </c>
      <c r="B117" s="72">
        <v>1617200023</v>
      </c>
      <c r="C117" s="72" t="s">
        <v>317</v>
      </c>
      <c r="D117" s="65" t="s">
        <v>318</v>
      </c>
      <c r="E117" s="355">
        <v>15</v>
      </c>
      <c r="F117" s="72" t="s">
        <v>31</v>
      </c>
      <c r="G117" s="76" t="s">
        <v>204</v>
      </c>
      <c r="H117" s="72">
        <v>319150</v>
      </c>
      <c r="I117" s="158">
        <f t="shared" si="13"/>
        <v>319150</v>
      </c>
      <c r="J117" s="72">
        <v>0</v>
      </c>
      <c r="K117" s="162">
        <f>119000</f>
        <v>119000</v>
      </c>
      <c r="L117" s="163">
        <f>119000+150000</f>
        <v>269000</v>
      </c>
      <c r="M117" s="215">
        <f t="shared" si="15"/>
        <v>50150</v>
      </c>
      <c r="N117" s="162">
        <f>M117</f>
        <v>50150</v>
      </c>
    </row>
    <row r="118" spans="1:14" ht="75" x14ac:dyDescent="0.25">
      <c r="A118" s="93">
        <v>55</v>
      </c>
      <c r="B118" s="72">
        <v>1617200024</v>
      </c>
      <c r="C118" s="65" t="s">
        <v>319</v>
      </c>
      <c r="D118" s="40" t="s">
        <v>320</v>
      </c>
      <c r="E118" s="342">
        <v>15</v>
      </c>
      <c r="F118" s="72" t="s">
        <v>31</v>
      </c>
      <c r="G118" s="195" t="s">
        <v>204</v>
      </c>
      <c r="H118" s="72">
        <v>444200</v>
      </c>
      <c r="I118" s="158">
        <f t="shared" si="13"/>
        <v>444200</v>
      </c>
      <c r="J118" s="72">
        <v>0</v>
      </c>
      <c r="K118" s="162">
        <v>148000</v>
      </c>
      <c r="L118" s="163">
        <v>148000</v>
      </c>
      <c r="M118" s="215">
        <f t="shared" si="15"/>
        <v>296200</v>
      </c>
      <c r="N118" s="162">
        <f>M118/2</f>
        <v>148100</v>
      </c>
    </row>
    <row r="119" spans="1:14" ht="45" x14ac:dyDescent="0.25">
      <c r="A119" s="93">
        <v>56</v>
      </c>
      <c r="B119" s="72">
        <v>1617200025</v>
      </c>
      <c r="C119" s="65" t="s">
        <v>321</v>
      </c>
      <c r="D119" s="65" t="s">
        <v>322</v>
      </c>
      <c r="E119" s="355">
        <v>15</v>
      </c>
      <c r="F119" s="72" t="s">
        <v>31</v>
      </c>
      <c r="G119" s="76" t="s">
        <v>204</v>
      </c>
      <c r="H119" s="72">
        <v>593034</v>
      </c>
      <c r="I119" s="158">
        <f t="shared" si="13"/>
        <v>593034</v>
      </c>
      <c r="J119" s="72">
        <v>0</v>
      </c>
      <c r="K119" s="162">
        <v>200000</v>
      </c>
      <c r="L119" s="163">
        <v>200000</v>
      </c>
      <c r="M119" s="215">
        <f t="shared" si="15"/>
        <v>393034</v>
      </c>
      <c r="N119" s="162">
        <f>M119/2</f>
        <v>196517</v>
      </c>
    </row>
    <row r="120" spans="1:14" ht="60" x14ac:dyDescent="0.25">
      <c r="A120" s="93">
        <v>57</v>
      </c>
      <c r="B120" s="72">
        <v>1617200026</v>
      </c>
      <c r="C120" s="65" t="s">
        <v>323</v>
      </c>
      <c r="D120" s="40" t="s">
        <v>324</v>
      </c>
      <c r="E120" s="342">
        <v>15</v>
      </c>
      <c r="F120" s="72" t="s">
        <v>31</v>
      </c>
      <c r="G120" s="67" t="s">
        <v>204</v>
      </c>
      <c r="H120" s="72">
        <v>173290</v>
      </c>
      <c r="I120" s="158">
        <f t="shared" si="13"/>
        <v>173290</v>
      </c>
      <c r="J120" s="72">
        <v>0</v>
      </c>
      <c r="K120" s="162">
        <v>60000</v>
      </c>
      <c r="L120" s="163">
        <v>60000</v>
      </c>
      <c r="M120" s="215">
        <f t="shared" si="15"/>
        <v>113290</v>
      </c>
      <c r="N120" s="162">
        <f>M120</f>
        <v>113290</v>
      </c>
    </row>
    <row r="121" spans="1:14" ht="60" x14ac:dyDescent="0.25">
      <c r="A121" s="93">
        <v>58</v>
      </c>
      <c r="B121" s="72">
        <v>1617200027</v>
      </c>
      <c r="C121" s="195" t="s">
        <v>325</v>
      </c>
      <c r="D121" s="40" t="s">
        <v>326</v>
      </c>
      <c r="E121" s="342">
        <v>15</v>
      </c>
      <c r="F121" s="72" t="s">
        <v>31</v>
      </c>
      <c r="G121" s="67" t="s">
        <v>204</v>
      </c>
      <c r="H121" s="72">
        <v>260712</v>
      </c>
      <c r="I121" s="158">
        <f t="shared" si="13"/>
        <v>260712</v>
      </c>
      <c r="J121" s="72">
        <v>0</v>
      </c>
      <c r="K121" s="162">
        <v>80000</v>
      </c>
      <c r="L121" s="163">
        <v>80000</v>
      </c>
      <c r="M121" s="215">
        <f t="shared" si="15"/>
        <v>180712</v>
      </c>
      <c r="N121" s="162">
        <f>M121</f>
        <v>180712</v>
      </c>
    </row>
    <row r="122" spans="1:14" ht="60" x14ac:dyDescent="0.25">
      <c r="A122" s="93">
        <v>59</v>
      </c>
      <c r="B122" s="72">
        <v>1617200028</v>
      </c>
      <c r="C122" s="195" t="s">
        <v>327</v>
      </c>
      <c r="D122" s="199" t="s">
        <v>328</v>
      </c>
      <c r="E122" s="363">
        <v>15</v>
      </c>
      <c r="F122" s="72" t="s">
        <v>31</v>
      </c>
      <c r="G122" s="67" t="s">
        <v>204</v>
      </c>
      <c r="H122" s="72">
        <v>302126</v>
      </c>
      <c r="I122" s="158">
        <f t="shared" si="13"/>
        <v>302126</v>
      </c>
      <c r="J122" s="72">
        <v>0</v>
      </c>
      <c r="K122" s="162">
        <v>100000</v>
      </c>
      <c r="L122" s="163">
        <v>100000</v>
      </c>
      <c r="M122" s="215">
        <f t="shared" si="15"/>
        <v>202126</v>
      </c>
      <c r="N122" s="162">
        <f>M122</f>
        <v>202126</v>
      </c>
    </row>
    <row r="123" spans="1:14" ht="60" x14ac:dyDescent="0.25">
      <c r="A123" s="93">
        <v>60</v>
      </c>
      <c r="B123" s="72">
        <v>1617200031</v>
      </c>
      <c r="C123" s="72" t="s">
        <v>332</v>
      </c>
      <c r="D123" s="40" t="s">
        <v>333</v>
      </c>
      <c r="E123" s="342">
        <v>15</v>
      </c>
      <c r="F123" s="72" t="s">
        <v>31</v>
      </c>
      <c r="G123" s="67" t="s">
        <v>204</v>
      </c>
      <c r="H123" s="72">
        <v>447570</v>
      </c>
      <c r="I123" s="158">
        <f t="shared" si="13"/>
        <v>447570</v>
      </c>
      <c r="J123" s="72">
        <v>0</v>
      </c>
      <c r="K123" s="162">
        <v>150000</v>
      </c>
      <c r="L123" s="163">
        <v>150000</v>
      </c>
      <c r="M123" s="215">
        <f t="shared" si="15"/>
        <v>297570</v>
      </c>
      <c r="N123" s="162">
        <f>M123/2</f>
        <v>148785</v>
      </c>
    </row>
    <row r="124" spans="1:14" ht="60" x14ac:dyDescent="0.25">
      <c r="A124" s="93">
        <v>62</v>
      </c>
      <c r="B124" s="72">
        <v>1617200033</v>
      </c>
      <c r="C124" s="65" t="s">
        <v>335</v>
      </c>
      <c r="D124" s="40" t="s">
        <v>336</v>
      </c>
      <c r="E124" s="342">
        <v>15</v>
      </c>
      <c r="F124" s="72" t="s">
        <v>31</v>
      </c>
      <c r="G124" s="40" t="s">
        <v>204</v>
      </c>
      <c r="H124" s="72">
        <v>302331</v>
      </c>
      <c r="I124" s="158">
        <f t="shared" si="13"/>
        <v>302331</v>
      </c>
      <c r="J124" s="72">
        <v>0</v>
      </c>
      <c r="K124" s="162">
        <f>100000+120000</f>
        <v>220000</v>
      </c>
      <c r="L124" s="163">
        <f>100000+120000</f>
        <v>220000</v>
      </c>
      <c r="M124" s="215">
        <f t="shared" si="15"/>
        <v>82331</v>
      </c>
      <c r="N124" s="162">
        <f>M124</f>
        <v>82331</v>
      </c>
    </row>
    <row r="125" spans="1:14" ht="105" x14ac:dyDescent="0.25">
      <c r="A125" s="93">
        <v>66</v>
      </c>
      <c r="B125" s="67">
        <v>1617200044</v>
      </c>
      <c r="C125" s="67" t="s">
        <v>352</v>
      </c>
      <c r="D125" s="67" t="s">
        <v>353</v>
      </c>
      <c r="E125" s="353">
        <v>15</v>
      </c>
      <c r="F125" s="72" t="s">
        <v>31</v>
      </c>
      <c r="G125" s="85" t="s">
        <v>204</v>
      </c>
      <c r="H125" s="68">
        <v>690000</v>
      </c>
      <c r="I125" s="158">
        <f t="shared" si="13"/>
        <v>690000</v>
      </c>
      <c r="J125" s="162">
        <v>0</v>
      </c>
      <c r="K125" s="162"/>
      <c r="L125" s="163">
        <f>230000</f>
        <v>230000</v>
      </c>
      <c r="M125" s="215">
        <f t="shared" si="15"/>
        <v>460000</v>
      </c>
      <c r="N125" s="162">
        <v>0</v>
      </c>
    </row>
    <row r="126" spans="1:14" ht="60" x14ac:dyDescent="0.25">
      <c r="A126" s="93">
        <v>67</v>
      </c>
      <c r="B126" s="67">
        <v>1617200046</v>
      </c>
      <c r="C126" s="67" t="s">
        <v>354</v>
      </c>
      <c r="D126" s="67" t="s">
        <v>355</v>
      </c>
      <c r="E126" s="353">
        <v>15</v>
      </c>
      <c r="F126" s="162" t="s">
        <v>31</v>
      </c>
      <c r="G126" s="85" t="s">
        <v>204</v>
      </c>
      <c r="H126" s="67">
        <v>300000</v>
      </c>
      <c r="I126" s="158">
        <f t="shared" si="13"/>
        <v>300000</v>
      </c>
      <c r="J126" s="162">
        <v>0</v>
      </c>
      <c r="K126" s="162">
        <f>130000</f>
        <v>130000</v>
      </c>
      <c r="L126" s="163">
        <f>130000</f>
        <v>130000</v>
      </c>
      <c r="M126" s="215">
        <f t="shared" si="15"/>
        <v>170000</v>
      </c>
      <c r="N126" s="162">
        <f>M126</f>
        <v>170000</v>
      </c>
    </row>
    <row r="127" spans="1:14" ht="51" x14ac:dyDescent="0.25">
      <c r="A127" s="93">
        <v>69</v>
      </c>
      <c r="B127" s="167">
        <v>1617200051</v>
      </c>
      <c r="C127" s="79" t="s">
        <v>361</v>
      </c>
      <c r="D127" s="176" t="s">
        <v>362</v>
      </c>
      <c r="E127" s="167">
        <v>15</v>
      </c>
      <c r="F127" s="162" t="s">
        <v>31</v>
      </c>
      <c r="G127" s="61" t="s">
        <v>204</v>
      </c>
      <c r="H127" s="176">
        <v>386000</v>
      </c>
      <c r="I127" s="158">
        <f t="shared" si="13"/>
        <v>386000</v>
      </c>
      <c r="J127" s="162">
        <v>0</v>
      </c>
      <c r="K127" s="162">
        <v>0</v>
      </c>
      <c r="L127" s="163">
        <v>125000</v>
      </c>
      <c r="M127" s="215">
        <f t="shared" si="15"/>
        <v>261000</v>
      </c>
      <c r="N127" s="162">
        <v>0</v>
      </c>
    </row>
    <row r="128" spans="1:14" ht="60" x14ac:dyDescent="0.25">
      <c r="A128" s="93">
        <v>1</v>
      </c>
      <c r="B128" s="157">
        <v>200011</v>
      </c>
      <c r="C128" s="132" t="s">
        <v>202</v>
      </c>
      <c r="D128" s="106" t="s">
        <v>203</v>
      </c>
      <c r="E128" s="168">
        <v>16</v>
      </c>
      <c r="F128" s="72" t="s">
        <v>17</v>
      </c>
      <c r="G128" s="47" t="s">
        <v>204</v>
      </c>
      <c r="H128" s="158">
        <v>924600</v>
      </c>
      <c r="I128" s="158">
        <f t="shared" si="13"/>
        <v>74600</v>
      </c>
      <c r="J128" s="159">
        <f>600000+250000</f>
        <v>850000</v>
      </c>
      <c r="K128" s="160">
        <v>74600</v>
      </c>
      <c r="L128" s="217">
        <v>74600</v>
      </c>
      <c r="M128" s="215">
        <f t="shared" si="15"/>
        <v>0</v>
      </c>
      <c r="N128" s="162">
        <f>M128</f>
        <v>0</v>
      </c>
    </row>
    <row r="129" spans="1:14" ht="75" x14ac:dyDescent="0.25">
      <c r="A129" s="93">
        <v>30</v>
      </c>
      <c r="B129" s="65">
        <v>200097</v>
      </c>
      <c r="C129" s="72" t="s">
        <v>259</v>
      </c>
      <c r="D129" s="65" t="s">
        <v>260</v>
      </c>
      <c r="E129" s="355">
        <v>16</v>
      </c>
      <c r="F129" s="72" t="s">
        <v>31</v>
      </c>
      <c r="G129" s="61" t="s">
        <v>204</v>
      </c>
      <c r="H129" s="72">
        <v>901600</v>
      </c>
      <c r="I129" s="158">
        <f t="shared" si="13"/>
        <v>901600</v>
      </c>
      <c r="J129" s="72">
        <v>0</v>
      </c>
      <c r="K129" s="183">
        <v>600000</v>
      </c>
      <c r="L129" s="184">
        <v>600000</v>
      </c>
      <c r="M129" s="215">
        <f t="shared" si="15"/>
        <v>301600</v>
      </c>
      <c r="N129" s="162">
        <f>M129</f>
        <v>301600</v>
      </c>
    </row>
    <row r="130" spans="1:14" ht="90" x14ac:dyDescent="0.25">
      <c r="A130" s="93">
        <v>24</v>
      </c>
      <c r="B130" s="164">
        <v>200088</v>
      </c>
      <c r="C130" s="41" t="s">
        <v>248</v>
      </c>
      <c r="D130" s="41" t="s">
        <v>249</v>
      </c>
      <c r="E130" s="364">
        <v>17</v>
      </c>
      <c r="F130" s="72" t="s">
        <v>31</v>
      </c>
      <c r="G130" s="65" t="s">
        <v>204</v>
      </c>
      <c r="H130" s="72">
        <f>259000*5</f>
        <v>1295000</v>
      </c>
      <c r="I130" s="158">
        <f t="shared" si="13"/>
        <v>1295000</v>
      </c>
      <c r="J130" s="72">
        <v>0</v>
      </c>
      <c r="K130" s="162">
        <f>74000*5</f>
        <v>370000</v>
      </c>
      <c r="L130" s="163">
        <f>74000*5</f>
        <v>370000</v>
      </c>
      <c r="M130" s="215">
        <f t="shared" si="15"/>
        <v>925000</v>
      </c>
      <c r="N130" s="162">
        <v>0</v>
      </c>
    </row>
    <row r="131" spans="1:14" ht="60" x14ac:dyDescent="0.25">
      <c r="A131" s="93">
        <v>51</v>
      </c>
      <c r="B131" s="131">
        <v>1617200019</v>
      </c>
      <c r="C131" s="182" t="s">
        <v>309</v>
      </c>
      <c r="D131" s="40" t="s">
        <v>310</v>
      </c>
      <c r="E131" s="342">
        <v>17</v>
      </c>
      <c r="F131" s="72" t="s">
        <v>20</v>
      </c>
      <c r="G131" s="65" t="s">
        <v>204</v>
      </c>
      <c r="H131" s="72">
        <v>30000</v>
      </c>
      <c r="I131" s="158">
        <f t="shared" si="13"/>
        <v>30000</v>
      </c>
      <c r="J131" s="72">
        <v>0</v>
      </c>
      <c r="K131" s="162">
        <v>30000</v>
      </c>
      <c r="L131" s="163">
        <v>30000</v>
      </c>
      <c r="M131" s="215">
        <f t="shared" si="15"/>
        <v>0</v>
      </c>
      <c r="N131" s="162">
        <f t="shared" ref="N131:N136" si="16">M131</f>
        <v>0</v>
      </c>
    </row>
    <row r="132" spans="1:14" ht="60" x14ac:dyDescent="0.25">
      <c r="A132" s="93">
        <v>64</v>
      </c>
      <c r="B132" s="67">
        <v>1617200039</v>
      </c>
      <c r="C132" s="67" t="s">
        <v>343</v>
      </c>
      <c r="D132" s="67" t="s">
        <v>344</v>
      </c>
      <c r="E132" s="353">
        <v>17</v>
      </c>
      <c r="F132" s="162" t="s">
        <v>31</v>
      </c>
      <c r="G132" s="85" t="s">
        <v>204</v>
      </c>
      <c r="H132" s="68">
        <v>150000</v>
      </c>
      <c r="I132" s="158">
        <f t="shared" ref="I132:I161" si="17">H132-J132</f>
        <v>150000</v>
      </c>
      <c r="J132" s="162">
        <v>0</v>
      </c>
      <c r="K132" s="162">
        <v>0</v>
      </c>
      <c r="L132" s="163">
        <v>150000</v>
      </c>
      <c r="M132" s="215">
        <f t="shared" si="15"/>
        <v>0</v>
      </c>
      <c r="N132" s="162">
        <f t="shared" si="16"/>
        <v>0</v>
      </c>
    </row>
    <row r="133" spans="1:14" ht="63.75" x14ac:dyDescent="0.25">
      <c r="A133" s="93">
        <v>70</v>
      </c>
      <c r="B133" s="79">
        <v>1617200059</v>
      </c>
      <c r="C133" s="61" t="s">
        <v>374</v>
      </c>
      <c r="D133" s="79" t="s">
        <v>375</v>
      </c>
      <c r="E133" s="167">
        <v>17</v>
      </c>
      <c r="F133" s="162" t="s">
        <v>17</v>
      </c>
      <c r="G133" s="61" t="s">
        <v>204</v>
      </c>
      <c r="H133" s="79">
        <v>500000</v>
      </c>
      <c r="I133" s="158">
        <f t="shared" si="17"/>
        <v>500000</v>
      </c>
      <c r="J133" s="162">
        <v>0</v>
      </c>
      <c r="K133" s="162">
        <v>500000</v>
      </c>
      <c r="L133" s="163">
        <f>500000</f>
        <v>500000</v>
      </c>
      <c r="M133" s="215">
        <f t="shared" si="15"/>
        <v>0</v>
      </c>
      <c r="N133" s="162">
        <f t="shared" si="16"/>
        <v>0</v>
      </c>
    </row>
    <row r="134" spans="1:14" ht="75" x14ac:dyDescent="0.25">
      <c r="A134" s="93">
        <v>25</v>
      </c>
      <c r="B134" s="65">
        <v>200091</v>
      </c>
      <c r="C134" s="160" t="s">
        <v>250</v>
      </c>
      <c r="D134" s="65" t="s">
        <v>251</v>
      </c>
      <c r="E134" s="355">
        <v>18</v>
      </c>
      <c r="F134" s="72" t="s">
        <v>20</v>
      </c>
      <c r="G134" s="30" t="s">
        <v>204</v>
      </c>
      <c r="H134" s="72">
        <v>1000000</v>
      </c>
      <c r="I134" s="158">
        <f t="shared" si="17"/>
        <v>1000000</v>
      </c>
      <c r="J134" s="72">
        <v>0</v>
      </c>
      <c r="K134" s="162">
        <v>1000000</v>
      </c>
      <c r="L134" s="163">
        <v>1000000</v>
      </c>
      <c r="M134" s="215">
        <f t="shared" si="15"/>
        <v>0</v>
      </c>
      <c r="N134" s="162">
        <f t="shared" si="16"/>
        <v>0</v>
      </c>
    </row>
    <row r="135" spans="1:14" ht="90" x14ac:dyDescent="0.25">
      <c r="A135" s="93">
        <v>6</v>
      </c>
      <c r="B135" s="65">
        <v>200048</v>
      </c>
      <c r="C135" s="40" t="s">
        <v>213</v>
      </c>
      <c r="D135" s="160" t="s">
        <v>214</v>
      </c>
      <c r="E135" s="93">
        <v>19</v>
      </c>
      <c r="F135" s="72" t="s">
        <v>17</v>
      </c>
      <c r="G135" s="21" t="s">
        <v>204</v>
      </c>
      <c r="H135" s="72">
        <v>450000</v>
      </c>
      <c r="I135" s="158">
        <f t="shared" si="17"/>
        <v>450000</v>
      </c>
      <c r="J135" s="72">
        <v>0</v>
      </c>
      <c r="K135" s="162">
        <v>450000</v>
      </c>
      <c r="L135" s="163">
        <f>75000*6</f>
        <v>450000</v>
      </c>
      <c r="M135" s="215">
        <f t="shared" si="15"/>
        <v>0</v>
      </c>
      <c r="N135" s="162">
        <f t="shared" si="16"/>
        <v>0</v>
      </c>
    </row>
    <row r="136" spans="1:14" ht="45" x14ac:dyDescent="0.25">
      <c r="A136" s="93">
        <v>43</v>
      </c>
      <c r="B136" s="67">
        <v>1617200005</v>
      </c>
      <c r="C136" s="67" t="s">
        <v>287</v>
      </c>
      <c r="D136" s="67" t="s">
        <v>288</v>
      </c>
      <c r="E136" s="353">
        <v>19</v>
      </c>
      <c r="F136" s="162" t="s">
        <v>31</v>
      </c>
      <c r="G136" s="85" t="s">
        <v>204</v>
      </c>
      <c r="H136" s="67">
        <v>6937000</v>
      </c>
      <c r="I136" s="158">
        <f t="shared" si="17"/>
        <v>6937000</v>
      </c>
      <c r="J136" s="162">
        <v>0</v>
      </c>
      <c r="K136" s="192">
        <f>4682000+396000+75000</f>
        <v>5153000</v>
      </c>
      <c r="L136" s="193">
        <f>2890000+1533000+259000</f>
        <v>4682000</v>
      </c>
      <c r="M136" s="215">
        <f t="shared" si="15"/>
        <v>2255000</v>
      </c>
      <c r="N136" s="162">
        <f t="shared" si="16"/>
        <v>2255000</v>
      </c>
    </row>
    <row r="137" spans="1:14" ht="75" x14ac:dyDescent="0.25">
      <c r="A137" s="93">
        <v>50</v>
      </c>
      <c r="B137" s="72">
        <v>1617200018</v>
      </c>
      <c r="C137" s="72" t="s">
        <v>69</v>
      </c>
      <c r="D137" s="65" t="s">
        <v>308</v>
      </c>
      <c r="E137" s="355">
        <v>19</v>
      </c>
      <c r="F137" s="72" t="s">
        <v>31</v>
      </c>
      <c r="G137" s="61" t="s">
        <v>204</v>
      </c>
      <c r="H137" s="72">
        <v>1236000</v>
      </c>
      <c r="I137" s="158">
        <f t="shared" si="17"/>
        <v>1236000</v>
      </c>
      <c r="J137" s="72">
        <v>0</v>
      </c>
      <c r="K137" s="162">
        <v>381000</v>
      </c>
      <c r="L137" s="163">
        <f>174000+207000</f>
        <v>381000</v>
      </c>
      <c r="M137" s="215">
        <f t="shared" si="15"/>
        <v>855000</v>
      </c>
      <c r="N137" s="162">
        <v>300000</v>
      </c>
    </row>
    <row r="138" spans="1:14" ht="75" x14ac:dyDescent="0.25">
      <c r="A138" s="93">
        <v>61</v>
      </c>
      <c r="B138" s="72">
        <v>1617200032</v>
      </c>
      <c r="C138" s="72" t="s">
        <v>69</v>
      </c>
      <c r="D138" s="65" t="s">
        <v>334</v>
      </c>
      <c r="E138" s="355">
        <v>19</v>
      </c>
      <c r="F138" s="72" t="s">
        <v>17</v>
      </c>
      <c r="G138" s="61" t="s">
        <v>204</v>
      </c>
      <c r="H138" s="72">
        <v>734000</v>
      </c>
      <c r="I138" s="158">
        <f t="shared" si="17"/>
        <v>734000</v>
      </c>
      <c r="J138" s="72">
        <v>0</v>
      </c>
      <c r="K138" s="162">
        <v>734000</v>
      </c>
      <c r="L138" s="163">
        <f>654000+30000+50000</f>
        <v>734000</v>
      </c>
      <c r="M138" s="215">
        <f t="shared" si="15"/>
        <v>0</v>
      </c>
      <c r="N138" s="162">
        <f>M138</f>
        <v>0</v>
      </c>
    </row>
    <row r="139" spans="1:14" ht="38.25" x14ac:dyDescent="0.25">
      <c r="A139" s="93">
        <v>68</v>
      </c>
      <c r="B139" s="79">
        <v>1617200049</v>
      </c>
      <c r="C139" s="79" t="s">
        <v>69</v>
      </c>
      <c r="D139" s="52" t="s">
        <v>358</v>
      </c>
      <c r="E139" s="93">
        <v>19</v>
      </c>
      <c r="F139" s="162" t="s">
        <v>31</v>
      </c>
      <c r="G139" s="61" t="s">
        <v>204</v>
      </c>
      <c r="H139" s="52">
        <v>460000</v>
      </c>
      <c r="I139" s="158">
        <f t="shared" si="17"/>
        <v>460000</v>
      </c>
      <c r="J139" s="162">
        <v>0</v>
      </c>
      <c r="K139" s="162">
        <v>0</v>
      </c>
      <c r="L139" s="163">
        <f>400000+20000</f>
        <v>420000</v>
      </c>
      <c r="M139" s="215">
        <f t="shared" si="15"/>
        <v>40000</v>
      </c>
      <c r="N139" s="162">
        <v>0</v>
      </c>
    </row>
    <row r="140" spans="1:14" ht="60" x14ac:dyDescent="0.25">
      <c r="A140" s="93">
        <v>11</v>
      </c>
      <c r="B140" s="65">
        <v>200061</v>
      </c>
      <c r="C140" s="72" t="s">
        <v>223</v>
      </c>
      <c r="D140" s="65" t="s">
        <v>224</v>
      </c>
      <c r="E140" s="355">
        <v>20</v>
      </c>
      <c r="F140" s="72" t="s">
        <v>31</v>
      </c>
      <c r="G140" s="30" t="s">
        <v>204</v>
      </c>
      <c r="H140" s="72">
        <v>500000</v>
      </c>
      <c r="I140" s="158">
        <f t="shared" si="17"/>
        <v>334000</v>
      </c>
      <c r="J140" s="72">
        <v>166000</v>
      </c>
      <c r="K140" s="162">
        <v>166000</v>
      </c>
      <c r="L140" s="163">
        <v>166000</v>
      </c>
      <c r="M140" s="215">
        <f t="shared" si="15"/>
        <v>168000</v>
      </c>
      <c r="N140" s="162">
        <f>M140</f>
        <v>168000</v>
      </c>
    </row>
    <row r="141" spans="1:14" ht="60" x14ac:dyDescent="0.25">
      <c r="A141" s="93">
        <v>23</v>
      </c>
      <c r="B141" s="164">
        <v>200087</v>
      </c>
      <c r="C141" s="41" t="s">
        <v>246</v>
      </c>
      <c r="D141" s="179" t="s">
        <v>247</v>
      </c>
      <c r="E141" s="354">
        <v>20</v>
      </c>
      <c r="F141" s="72" t="s">
        <v>31</v>
      </c>
      <c r="G141" s="175" t="s">
        <v>204</v>
      </c>
      <c r="H141" s="72">
        <v>450000</v>
      </c>
      <c r="I141" s="158">
        <f t="shared" si="17"/>
        <v>450000</v>
      </c>
      <c r="J141" s="72">
        <v>0</v>
      </c>
      <c r="K141" s="162">
        <f>150000+150000</f>
        <v>300000</v>
      </c>
      <c r="L141" s="163">
        <f>150000+150000</f>
        <v>300000</v>
      </c>
      <c r="M141" s="215">
        <f t="shared" si="15"/>
        <v>150000</v>
      </c>
      <c r="N141" s="162">
        <f>M141</f>
        <v>150000</v>
      </c>
    </row>
    <row r="142" spans="1:14" ht="60" x14ac:dyDescent="0.25">
      <c r="A142" s="93">
        <v>48</v>
      </c>
      <c r="B142" s="131">
        <v>1617200013</v>
      </c>
      <c r="C142" s="180" t="s">
        <v>299</v>
      </c>
      <c r="D142" s="197" t="s">
        <v>300</v>
      </c>
      <c r="E142" s="365">
        <v>20</v>
      </c>
      <c r="F142" s="162" t="s">
        <v>31</v>
      </c>
      <c r="G142" s="67" t="s">
        <v>204</v>
      </c>
      <c r="H142" s="162">
        <v>400000</v>
      </c>
      <c r="I142" s="158">
        <f t="shared" si="17"/>
        <v>400000</v>
      </c>
      <c r="J142" s="162">
        <v>0</v>
      </c>
      <c r="K142" s="162">
        <v>130000</v>
      </c>
      <c r="L142" s="163">
        <v>130000</v>
      </c>
      <c r="M142" s="215">
        <f t="shared" si="15"/>
        <v>270000</v>
      </c>
      <c r="N142" s="162">
        <f>M142/2</f>
        <v>135000</v>
      </c>
    </row>
    <row r="143" spans="1:14" ht="60" x14ac:dyDescent="0.25">
      <c r="A143" s="93">
        <v>52</v>
      </c>
      <c r="B143" s="131">
        <v>1617200021</v>
      </c>
      <c r="C143" s="195" t="s">
        <v>313</v>
      </c>
      <c r="D143" s="190" t="s">
        <v>314</v>
      </c>
      <c r="E143" s="356">
        <v>20</v>
      </c>
      <c r="F143" s="72" t="s">
        <v>31</v>
      </c>
      <c r="G143" s="67" t="s">
        <v>204</v>
      </c>
      <c r="H143" s="72">
        <v>322654</v>
      </c>
      <c r="I143" s="158">
        <f t="shared" si="17"/>
        <v>322654</v>
      </c>
      <c r="J143" s="72">
        <v>0</v>
      </c>
      <c r="K143" s="162">
        <v>110000</v>
      </c>
      <c r="L143" s="163">
        <v>110000</v>
      </c>
      <c r="M143" s="215">
        <f t="shared" si="15"/>
        <v>212654</v>
      </c>
      <c r="N143" s="162">
        <v>0</v>
      </c>
    </row>
    <row r="144" spans="1:14" ht="60" x14ac:dyDescent="0.25">
      <c r="A144" s="93">
        <v>53</v>
      </c>
      <c r="B144" s="131">
        <v>1617200022</v>
      </c>
      <c r="C144" s="182" t="s">
        <v>315</v>
      </c>
      <c r="D144" s="40" t="s">
        <v>316</v>
      </c>
      <c r="E144" s="342">
        <v>20</v>
      </c>
      <c r="F144" s="72" t="s">
        <v>31</v>
      </c>
      <c r="G144" s="67" t="s">
        <v>204</v>
      </c>
      <c r="H144" s="72">
        <v>379188</v>
      </c>
      <c r="I144" s="158">
        <f t="shared" si="17"/>
        <v>379188</v>
      </c>
      <c r="J144" s="72">
        <v>0</v>
      </c>
      <c r="K144" s="162">
        <v>120000</v>
      </c>
      <c r="L144" s="163">
        <f>120000+130000</f>
        <v>250000</v>
      </c>
      <c r="M144" s="215">
        <f t="shared" ref="M144:M153" si="18">H144-(J144+L144)</f>
        <v>129188</v>
      </c>
      <c r="N144" s="162">
        <f>M144</f>
        <v>129188</v>
      </c>
    </row>
    <row r="145" spans="1:14" ht="38.25" x14ac:dyDescent="0.25">
      <c r="A145" s="93">
        <v>72</v>
      </c>
      <c r="B145" s="65" t="s">
        <v>194</v>
      </c>
      <c r="C145" s="72" t="s">
        <v>383</v>
      </c>
      <c r="D145" s="65" t="s">
        <v>384</v>
      </c>
      <c r="E145" s="355">
        <v>20</v>
      </c>
      <c r="F145" s="72" t="s">
        <v>20</v>
      </c>
      <c r="G145" s="52" t="s">
        <v>204</v>
      </c>
      <c r="H145" s="72">
        <v>6792</v>
      </c>
      <c r="I145" s="158">
        <f t="shared" si="17"/>
        <v>6792</v>
      </c>
      <c r="J145" s="72">
        <v>0</v>
      </c>
      <c r="K145" s="162">
        <v>6792</v>
      </c>
      <c r="L145" s="163">
        <v>6792</v>
      </c>
      <c r="M145" s="215">
        <f t="shared" si="18"/>
        <v>0</v>
      </c>
      <c r="N145" s="162">
        <f>M145</f>
        <v>0</v>
      </c>
    </row>
    <row r="146" spans="1:14" ht="75" x14ac:dyDescent="0.25">
      <c r="A146" s="93">
        <v>19</v>
      </c>
      <c r="B146" s="164">
        <v>200082</v>
      </c>
      <c r="C146" s="164" t="s">
        <v>237</v>
      </c>
      <c r="D146" s="78" t="s">
        <v>238</v>
      </c>
      <c r="E146" s="366">
        <v>21</v>
      </c>
      <c r="F146" s="131" t="s">
        <v>20</v>
      </c>
      <c r="G146" s="34" t="s">
        <v>204</v>
      </c>
      <c r="H146" s="131">
        <v>12000</v>
      </c>
      <c r="I146" s="158">
        <f t="shared" si="17"/>
        <v>12000</v>
      </c>
      <c r="J146" s="131">
        <v>0</v>
      </c>
      <c r="K146" s="127">
        <v>12000</v>
      </c>
      <c r="L146" s="178">
        <v>12000</v>
      </c>
      <c r="M146" s="215">
        <f t="shared" si="18"/>
        <v>0</v>
      </c>
      <c r="N146" s="162">
        <f>M146</f>
        <v>0</v>
      </c>
    </row>
    <row r="147" spans="1:14" ht="60" x14ac:dyDescent="0.25">
      <c r="A147" s="93">
        <v>22</v>
      </c>
      <c r="B147" s="164">
        <v>200086</v>
      </c>
      <c r="C147" s="180" t="s">
        <v>244</v>
      </c>
      <c r="D147" s="179" t="s">
        <v>245</v>
      </c>
      <c r="E147" s="354">
        <v>21</v>
      </c>
      <c r="F147" s="72" t="s">
        <v>20</v>
      </c>
      <c r="G147" s="175" t="s">
        <v>204</v>
      </c>
      <c r="H147" s="72">
        <v>6520</v>
      </c>
      <c r="I147" s="158">
        <f t="shared" si="17"/>
        <v>6520</v>
      </c>
      <c r="J147" s="72">
        <v>0</v>
      </c>
      <c r="K147" s="162">
        <v>6520</v>
      </c>
      <c r="L147" s="163">
        <v>6520</v>
      </c>
      <c r="M147" s="215">
        <f t="shared" si="18"/>
        <v>0</v>
      </c>
      <c r="N147" s="162">
        <f>M147</f>
        <v>0</v>
      </c>
    </row>
    <row r="148" spans="1:14" ht="60" x14ac:dyDescent="0.25">
      <c r="A148" s="93">
        <v>41</v>
      </c>
      <c r="B148" s="164">
        <v>200114</v>
      </c>
      <c r="C148" s="182" t="s">
        <v>281</v>
      </c>
      <c r="D148" s="165" t="s">
        <v>282</v>
      </c>
      <c r="E148" s="358">
        <v>21</v>
      </c>
      <c r="F148" s="72" t="s">
        <v>31</v>
      </c>
      <c r="G148" s="40" t="s">
        <v>204</v>
      </c>
      <c r="H148" s="72">
        <v>100000</v>
      </c>
      <c r="I148" s="158">
        <f t="shared" si="17"/>
        <v>100000</v>
      </c>
      <c r="J148" s="72">
        <v>0</v>
      </c>
      <c r="K148" s="162">
        <v>25000</v>
      </c>
      <c r="L148" s="163">
        <v>25000</v>
      </c>
      <c r="M148" s="215">
        <f t="shared" si="18"/>
        <v>75000</v>
      </c>
      <c r="N148" s="162">
        <v>0</v>
      </c>
    </row>
    <row r="149" spans="1:14" ht="60" x14ac:dyDescent="0.25">
      <c r="A149" s="93">
        <v>42</v>
      </c>
      <c r="B149" s="164">
        <v>200121</v>
      </c>
      <c r="C149" s="165" t="s">
        <v>283</v>
      </c>
      <c r="D149" s="165" t="s">
        <v>284</v>
      </c>
      <c r="E149" s="358">
        <v>21</v>
      </c>
      <c r="F149" s="72" t="s">
        <v>20</v>
      </c>
      <c r="G149" s="30" t="s">
        <v>204</v>
      </c>
      <c r="H149" s="72">
        <v>48000</v>
      </c>
      <c r="I149" s="158">
        <f t="shared" si="17"/>
        <v>48000</v>
      </c>
      <c r="J149" s="72">
        <v>0</v>
      </c>
      <c r="K149" s="162">
        <v>48000</v>
      </c>
      <c r="L149" s="163">
        <v>48000</v>
      </c>
      <c r="M149" s="215">
        <f t="shared" si="18"/>
        <v>0</v>
      </c>
      <c r="N149" s="162">
        <f>M149</f>
        <v>0</v>
      </c>
    </row>
    <row r="150" spans="1:14" ht="38.25" x14ac:dyDescent="0.25">
      <c r="A150" s="93">
        <v>13</v>
      </c>
      <c r="B150" s="167">
        <v>200066</v>
      </c>
      <c r="C150" s="79" t="s">
        <v>227</v>
      </c>
      <c r="D150" s="207" t="s">
        <v>228</v>
      </c>
      <c r="E150" s="168">
        <v>22</v>
      </c>
      <c r="F150" s="52" t="s">
        <v>31</v>
      </c>
      <c r="G150" s="105" t="s">
        <v>204</v>
      </c>
      <c r="H150" s="105">
        <v>626500</v>
      </c>
      <c r="I150" s="158">
        <f t="shared" si="17"/>
        <v>418500</v>
      </c>
      <c r="J150" s="169">
        <v>208000</v>
      </c>
      <c r="K150" s="103"/>
      <c r="L150" s="171">
        <f>200000</f>
        <v>200000</v>
      </c>
      <c r="M150" s="215">
        <f t="shared" si="18"/>
        <v>218500</v>
      </c>
      <c r="N150" s="162"/>
    </row>
    <row r="151" spans="1:14" ht="75" x14ac:dyDescent="0.25">
      <c r="A151" s="93">
        <v>44</v>
      </c>
      <c r="B151" s="72">
        <v>1617200006</v>
      </c>
      <c r="C151" s="72" t="s">
        <v>289</v>
      </c>
      <c r="D151" s="65" t="s">
        <v>290</v>
      </c>
      <c r="E151" s="355">
        <v>23</v>
      </c>
      <c r="F151" s="72" t="s">
        <v>31</v>
      </c>
      <c r="G151" s="61" t="s">
        <v>204</v>
      </c>
      <c r="H151" s="72">
        <v>10000000</v>
      </c>
      <c r="I151" s="158">
        <f t="shared" si="17"/>
        <v>10000000</v>
      </c>
      <c r="J151" s="72">
        <v>0</v>
      </c>
      <c r="K151" s="162">
        <v>2500000</v>
      </c>
      <c r="L151" s="163">
        <v>2500000</v>
      </c>
      <c r="M151" s="215">
        <f t="shared" si="18"/>
        <v>7500000</v>
      </c>
      <c r="N151" s="162">
        <v>0</v>
      </c>
    </row>
    <row r="152" spans="1:14" ht="90" x14ac:dyDescent="0.25">
      <c r="A152" s="93">
        <v>31</v>
      </c>
      <c r="B152" s="164">
        <v>200100</v>
      </c>
      <c r="C152" s="182" t="s">
        <v>69</v>
      </c>
      <c r="D152" s="185" t="s">
        <v>261</v>
      </c>
      <c r="E152" s="367">
        <v>24</v>
      </c>
      <c r="F152" s="72" t="s">
        <v>31</v>
      </c>
      <c r="G152" s="186" t="s">
        <v>137</v>
      </c>
      <c r="H152" s="72">
        <v>478051</v>
      </c>
      <c r="I152" s="158">
        <f t="shared" si="17"/>
        <v>478051</v>
      </c>
      <c r="J152" s="72">
        <v>0</v>
      </c>
      <c r="K152" s="162">
        <f>160000+140000</f>
        <v>300000</v>
      </c>
      <c r="L152" s="163">
        <f>160000+140000</f>
        <v>300000</v>
      </c>
      <c r="M152" s="215">
        <f t="shared" si="18"/>
        <v>178051</v>
      </c>
      <c r="N152" s="162">
        <f>M152</f>
        <v>178051</v>
      </c>
    </row>
    <row r="153" spans="1:14" ht="63.75" x14ac:dyDescent="0.25">
      <c r="A153" s="93">
        <v>32</v>
      </c>
      <c r="B153" s="162">
        <v>200102</v>
      </c>
      <c r="C153" s="65" t="s">
        <v>176</v>
      </c>
      <c r="D153" s="65" t="s">
        <v>262</v>
      </c>
      <c r="E153" s="355">
        <v>24</v>
      </c>
      <c r="F153" s="72" t="s">
        <v>31</v>
      </c>
      <c r="G153" s="52" t="s">
        <v>137</v>
      </c>
      <c r="H153" s="162">
        <v>260000</v>
      </c>
      <c r="I153" s="158">
        <f t="shared" si="17"/>
        <v>260000</v>
      </c>
      <c r="J153" s="162">
        <v>0</v>
      </c>
      <c r="K153" s="162">
        <v>86000</v>
      </c>
      <c r="L153" s="163">
        <f>86000</f>
        <v>86000</v>
      </c>
      <c r="M153" s="215">
        <f t="shared" si="18"/>
        <v>174000</v>
      </c>
      <c r="N153" s="162">
        <f>M153</f>
        <v>174000</v>
      </c>
    </row>
    <row r="154" spans="1:14" ht="63.75" x14ac:dyDescent="0.25">
      <c r="A154" s="9"/>
      <c r="B154" s="65" t="s">
        <v>599</v>
      </c>
      <c r="C154" s="153"/>
      <c r="D154" s="229" t="s">
        <v>600</v>
      </c>
      <c r="E154" s="9">
        <v>24</v>
      </c>
      <c r="F154" s="154" t="s">
        <v>112</v>
      </c>
      <c r="G154" s="10" t="s">
        <v>137</v>
      </c>
      <c r="H154" s="155">
        <f>171000+495000</f>
        <v>666000</v>
      </c>
      <c r="I154" s="155">
        <f t="shared" si="17"/>
        <v>666000</v>
      </c>
      <c r="J154" s="155">
        <v>0</v>
      </c>
      <c r="K154" s="156"/>
      <c r="L154" s="347">
        <f>19000*9+495000</f>
        <v>666000</v>
      </c>
      <c r="M154" s="156"/>
      <c r="N154" s="156"/>
    </row>
    <row r="155" spans="1:14" ht="25.5" x14ac:dyDescent="0.25">
      <c r="A155" s="167">
        <v>3</v>
      </c>
      <c r="B155" s="176">
        <v>300039</v>
      </c>
      <c r="C155" s="231" t="s">
        <v>401</v>
      </c>
      <c r="D155" s="273" t="s">
        <v>402</v>
      </c>
      <c r="E155" s="187">
        <v>25</v>
      </c>
      <c r="F155" s="131" t="s">
        <v>31</v>
      </c>
      <c r="G155" s="131" t="s">
        <v>403</v>
      </c>
      <c r="H155" s="251">
        <v>150000</v>
      </c>
      <c r="I155" s="131">
        <f t="shared" si="17"/>
        <v>100000</v>
      </c>
      <c r="J155" s="105">
        <v>50000</v>
      </c>
      <c r="K155" s="250">
        <v>25000</v>
      </c>
      <c r="L155" s="178">
        <f>25000</f>
        <v>25000</v>
      </c>
      <c r="M155" s="127">
        <f>H155-(J155+K155)</f>
        <v>75000</v>
      </c>
      <c r="N155" s="127">
        <v>0</v>
      </c>
    </row>
    <row r="156" spans="1:14" ht="38.25" x14ac:dyDescent="0.25">
      <c r="A156" s="93">
        <v>4</v>
      </c>
      <c r="B156" s="176">
        <v>300040</v>
      </c>
      <c r="C156" s="252" t="s">
        <v>404</v>
      </c>
      <c r="D156" s="222" t="s">
        <v>405</v>
      </c>
      <c r="E156" s="187">
        <v>25</v>
      </c>
      <c r="F156" s="249" t="s">
        <v>17</v>
      </c>
      <c r="G156" s="249" t="s">
        <v>403</v>
      </c>
      <c r="H156" s="253">
        <v>75000</v>
      </c>
      <c r="I156" s="131">
        <f t="shared" si="17"/>
        <v>35000</v>
      </c>
      <c r="J156" s="169">
        <v>40000</v>
      </c>
      <c r="K156" s="249"/>
      <c r="L156" s="178">
        <v>35000</v>
      </c>
      <c r="M156" s="131"/>
      <c r="N156" s="127"/>
    </row>
    <row r="157" spans="1:14" ht="75" x14ac:dyDescent="0.25">
      <c r="A157" s="167">
        <v>5</v>
      </c>
      <c r="B157" s="167">
        <v>300041</v>
      </c>
      <c r="C157" s="176" t="s">
        <v>406</v>
      </c>
      <c r="D157" s="222" t="s">
        <v>407</v>
      </c>
      <c r="E157" s="187">
        <v>25</v>
      </c>
      <c r="F157" s="131" t="s">
        <v>408</v>
      </c>
      <c r="G157" s="197" t="s">
        <v>403</v>
      </c>
      <c r="H157" s="102">
        <v>2974153</v>
      </c>
      <c r="I157" s="131">
        <f t="shared" si="17"/>
        <v>1974153</v>
      </c>
      <c r="J157" s="254">
        <v>1000000</v>
      </c>
      <c r="K157" s="250">
        <v>0</v>
      </c>
      <c r="L157" s="178">
        <f>1000000</f>
        <v>1000000</v>
      </c>
      <c r="M157" s="127">
        <f>H157-(J157+K157)</f>
        <v>1974153</v>
      </c>
      <c r="N157" s="127">
        <v>1000000</v>
      </c>
    </row>
    <row r="158" spans="1:14" ht="51" x14ac:dyDescent="0.25">
      <c r="A158" s="93">
        <v>12</v>
      </c>
      <c r="B158" s="40">
        <v>300063</v>
      </c>
      <c r="C158" s="40" t="s">
        <v>420</v>
      </c>
      <c r="D158" s="259" t="s">
        <v>421</v>
      </c>
      <c r="E158" s="187">
        <v>25</v>
      </c>
      <c r="F158" s="131" t="s">
        <v>31</v>
      </c>
      <c r="G158" s="52" t="s">
        <v>241</v>
      </c>
      <c r="H158" s="131">
        <v>150000</v>
      </c>
      <c r="I158" s="131">
        <f t="shared" si="17"/>
        <v>150000</v>
      </c>
      <c r="J158" s="131">
        <v>0</v>
      </c>
      <c r="K158" s="250">
        <f>50000+25000</f>
        <v>75000</v>
      </c>
      <c r="L158" s="262">
        <f>50000+25000+35000</f>
        <v>110000</v>
      </c>
      <c r="M158" s="127">
        <f>H158-(J158+K158)</f>
        <v>75000</v>
      </c>
      <c r="N158" s="127">
        <f>M158</f>
        <v>75000</v>
      </c>
    </row>
    <row r="159" spans="1:14" ht="75" x14ac:dyDescent="0.25">
      <c r="A159" s="93">
        <v>16</v>
      </c>
      <c r="B159" s="131">
        <v>300072</v>
      </c>
      <c r="C159" s="40" t="s">
        <v>428</v>
      </c>
      <c r="D159" s="40" t="s">
        <v>429</v>
      </c>
      <c r="E159" s="187">
        <v>25</v>
      </c>
      <c r="F159" s="131" t="s">
        <v>66</v>
      </c>
      <c r="G159" s="197" t="s">
        <v>403</v>
      </c>
      <c r="H159" s="131">
        <v>300000</v>
      </c>
      <c r="I159" s="131">
        <f t="shared" si="17"/>
        <v>300000</v>
      </c>
      <c r="J159" s="131">
        <v>0</v>
      </c>
      <c r="K159" s="250">
        <v>0</v>
      </c>
      <c r="L159" s="178">
        <f>100000</f>
        <v>100000</v>
      </c>
      <c r="M159" s="127">
        <f>H159-(J159+K159)</f>
        <v>300000</v>
      </c>
      <c r="N159" s="127">
        <f>M159/3</f>
        <v>100000</v>
      </c>
    </row>
    <row r="160" spans="1:14" ht="75" x14ac:dyDescent="0.25">
      <c r="A160" s="167">
        <v>25</v>
      </c>
      <c r="B160" s="197">
        <v>1617300008</v>
      </c>
      <c r="C160" s="197" t="s">
        <v>447</v>
      </c>
      <c r="D160" s="197" t="s">
        <v>448</v>
      </c>
      <c r="E160" s="187">
        <v>25</v>
      </c>
      <c r="F160" s="131" t="s">
        <v>31</v>
      </c>
      <c r="G160" s="197" t="s">
        <v>241</v>
      </c>
      <c r="H160" s="197">
        <f>75000+75000</f>
        <v>150000</v>
      </c>
      <c r="I160" s="131">
        <f t="shared" si="17"/>
        <v>150000</v>
      </c>
      <c r="J160" s="131">
        <v>0</v>
      </c>
      <c r="K160" s="250">
        <f>35000+35000</f>
        <v>70000</v>
      </c>
      <c r="L160" s="178">
        <f>35000+35000</f>
        <v>70000</v>
      </c>
      <c r="M160" s="127">
        <f>H160-(J160+K160)</f>
        <v>80000</v>
      </c>
      <c r="N160" s="127">
        <f>M160</f>
        <v>80000</v>
      </c>
    </row>
    <row r="161" spans="1:14" ht="90" x14ac:dyDescent="0.25">
      <c r="A161" s="93">
        <v>34</v>
      </c>
      <c r="B161" s="40">
        <v>1617400038</v>
      </c>
      <c r="C161" s="40" t="s">
        <v>688</v>
      </c>
      <c r="D161" s="40" t="s">
        <v>689</v>
      </c>
      <c r="E161" s="342">
        <v>25</v>
      </c>
      <c r="F161" s="131" t="s">
        <v>500</v>
      </c>
      <c r="G161" s="52" t="s">
        <v>241</v>
      </c>
      <c r="H161" s="40">
        <v>270275</v>
      </c>
      <c r="I161" s="155">
        <f t="shared" si="17"/>
        <v>270275</v>
      </c>
      <c r="J161" s="131">
        <v>0</v>
      </c>
      <c r="K161" s="250">
        <v>0</v>
      </c>
      <c r="L161" s="255">
        <f>135137</f>
        <v>135137</v>
      </c>
      <c r="M161" s="127">
        <f>H161-(J161+K161)</f>
        <v>270275</v>
      </c>
      <c r="N161" s="127">
        <f>M161/2</f>
        <v>135137.5</v>
      </c>
    </row>
    <row r="162" spans="1:14" ht="51" x14ac:dyDescent="0.25">
      <c r="A162" s="167">
        <v>45</v>
      </c>
      <c r="B162" s="268"/>
      <c r="C162" s="160" t="s">
        <v>397</v>
      </c>
      <c r="D162" s="160" t="s">
        <v>478</v>
      </c>
      <c r="E162" s="368">
        <v>26</v>
      </c>
      <c r="F162" s="105" t="s">
        <v>31</v>
      </c>
      <c r="G162" s="176" t="s">
        <v>107</v>
      </c>
      <c r="H162" s="325">
        <v>4415729</v>
      </c>
      <c r="I162" s="249">
        <v>3110604</v>
      </c>
      <c r="J162" s="325">
        <v>1305125</v>
      </c>
      <c r="K162" s="169">
        <v>2746500</v>
      </c>
      <c r="L162" s="324">
        <v>2497959</v>
      </c>
      <c r="M162" s="269">
        <v>612645</v>
      </c>
      <c r="N162" s="127">
        <v>0</v>
      </c>
    </row>
    <row r="163" spans="1:14" ht="51" x14ac:dyDescent="0.25">
      <c r="A163" s="93">
        <v>40</v>
      </c>
      <c r="B163" s="65" t="s">
        <v>484</v>
      </c>
      <c r="C163" s="160"/>
      <c r="D163" s="160" t="s">
        <v>474</v>
      </c>
      <c r="E163" s="368">
        <v>27</v>
      </c>
      <c r="F163" s="105"/>
      <c r="G163" s="52" t="s">
        <v>107</v>
      </c>
      <c r="H163" s="102">
        <v>5000000</v>
      </c>
      <c r="I163" s="260">
        <v>6369857</v>
      </c>
      <c r="J163" s="102"/>
      <c r="K163" s="105">
        <v>4160258</v>
      </c>
      <c r="L163" s="178">
        <v>3968753</v>
      </c>
      <c r="M163" s="344">
        <f>I163-L163</f>
        <v>2401104</v>
      </c>
      <c r="N163" s="127">
        <f>2000000</f>
        <v>2000000</v>
      </c>
    </row>
    <row r="164" spans="1:14" ht="51" x14ac:dyDescent="0.25">
      <c r="A164" s="167">
        <v>41</v>
      </c>
      <c r="B164" s="343" t="s">
        <v>483</v>
      </c>
      <c r="C164" s="160"/>
      <c r="D164" s="160" t="s">
        <v>475</v>
      </c>
      <c r="E164" s="368">
        <v>27</v>
      </c>
      <c r="F164" s="105"/>
      <c r="G164" s="176" t="s">
        <v>107</v>
      </c>
      <c r="H164" s="102">
        <v>2000000</v>
      </c>
      <c r="I164" s="260">
        <f>H164-J164</f>
        <v>2000000</v>
      </c>
      <c r="J164" s="102"/>
      <c r="K164" s="105">
        <v>1411000</v>
      </c>
      <c r="L164" s="178">
        <v>1611000</v>
      </c>
      <c r="M164" s="127">
        <f>I164-L164</f>
        <v>389000</v>
      </c>
      <c r="N164" s="127">
        <v>300000</v>
      </c>
    </row>
    <row r="165" spans="1:14" ht="51" x14ac:dyDescent="0.25">
      <c r="A165" s="93">
        <v>42</v>
      </c>
      <c r="B165" s="65" t="s">
        <v>482</v>
      </c>
      <c r="C165" s="160"/>
      <c r="D165" s="160" t="s">
        <v>476</v>
      </c>
      <c r="E165" s="368">
        <v>27</v>
      </c>
      <c r="F165" s="105"/>
      <c r="G165" s="176" t="s">
        <v>107</v>
      </c>
      <c r="H165" s="102">
        <v>700000</v>
      </c>
      <c r="I165" s="131">
        <v>634000</v>
      </c>
      <c r="J165" s="102"/>
      <c r="K165" s="105">
        <v>614000</v>
      </c>
      <c r="L165" s="178">
        <v>534000</v>
      </c>
      <c r="M165" s="127">
        <f>I165-L165</f>
        <v>100000</v>
      </c>
      <c r="N165" s="127">
        <f>M165</f>
        <v>100000</v>
      </c>
    </row>
    <row r="166" spans="1:14" ht="60" x14ac:dyDescent="0.25">
      <c r="A166" s="167">
        <v>43</v>
      </c>
      <c r="B166" s="65" t="s">
        <v>481</v>
      </c>
      <c r="C166" s="160"/>
      <c r="D166" s="160" t="s">
        <v>477</v>
      </c>
      <c r="E166" s="368">
        <v>27</v>
      </c>
      <c r="F166" s="105"/>
      <c r="G166" s="176" t="s">
        <v>107</v>
      </c>
      <c r="H166" s="102">
        <v>2800000</v>
      </c>
      <c r="I166" s="131">
        <v>4498996</v>
      </c>
      <c r="J166" s="102">
        <v>0</v>
      </c>
      <c r="K166" s="105">
        <v>2000000</v>
      </c>
      <c r="L166" s="178">
        <v>4130263</v>
      </c>
      <c r="M166" s="127">
        <v>598733</v>
      </c>
      <c r="N166" s="127">
        <v>101000</v>
      </c>
    </row>
    <row r="167" spans="1:14" ht="51" x14ac:dyDescent="0.25">
      <c r="A167" s="167"/>
      <c r="B167" s="65" t="s">
        <v>480</v>
      </c>
      <c r="C167" s="160"/>
      <c r="D167" s="160" t="s">
        <v>479</v>
      </c>
      <c r="E167" s="368">
        <v>27</v>
      </c>
      <c r="F167" s="105"/>
      <c r="G167" s="176" t="s">
        <v>107</v>
      </c>
      <c r="H167" s="102"/>
      <c r="I167" s="72">
        <v>9116500</v>
      </c>
      <c r="J167" s="102">
        <v>0</v>
      </c>
      <c r="K167" s="105"/>
      <c r="L167" s="178">
        <v>1250000</v>
      </c>
      <c r="M167" s="250">
        <f>I167-(J167+L167)</f>
        <v>7866500</v>
      </c>
      <c r="N167" s="127">
        <v>3000000</v>
      </c>
    </row>
    <row r="168" spans="1:14" ht="75" x14ac:dyDescent="0.25">
      <c r="A168" s="93">
        <v>8</v>
      </c>
      <c r="B168" s="131">
        <v>300052</v>
      </c>
      <c r="C168" s="131" t="s">
        <v>397</v>
      </c>
      <c r="D168" s="259" t="s">
        <v>413</v>
      </c>
      <c r="E168" s="187">
        <v>28</v>
      </c>
      <c r="F168" s="131"/>
      <c r="G168" s="197" t="s">
        <v>107</v>
      </c>
      <c r="H168" s="249">
        <v>3406608</v>
      </c>
      <c r="I168" s="131">
        <f t="shared" ref="I168:I199" si="19">H168-J168</f>
        <v>1875822</v>
      </c>
      <c r="J168" s="249">
        <v>1530786</v>
      </c>
      <c r="K168" s="256">
        <f>809586+557148+648400</f>
        <v>2015134</v>
      </c>
      <c r="L168" s="203">
        <f>648400+809586+557148</f>
        <v>2015134</v>
      </c>
      <c r="M168" s="127">
        <f t="shared" ref="M168:M173" si="20">H168-(J168+K168)</f>
        <v>-139312</v>
      </c>
      <c r="N168" s="127">
        <v>0</v>
      </c>
    </row>
    <row r="169" spans="1:14" ht="120" x14ac:dyDescent="0.25">
      <c r="A169" s="167">
        <v>9</v>
      </c>
      <c r="B169" s="127" t="s">
        <v>414</v>
      </c>
      <c r="C169" s="127" t="s">
        <v>69</v>
      </c>
      <c r="D169" s="259" t="s">
        <v>415</v>
      </c>
      <c r="E169" s="369">
        <v>28</v>
      </c>
      <c r="F169" s="127"/>
      <c r="G169" s="197" t="s">
        <v>107</v>
      </c>
      <c r="H169" s="257">
        <v>240315</v>
      </c>
      <c r="I169" s="131">
        <f t="shared" si="19"/>
        <v>240315</v>
      </c>
      <c r="J169" s="257">
        <v>0</v>
      </c>
      <c r="K169" s="256">
        <v>101004</v>
      </c>
      <c r="L169" s="178">
        <f>101004</f>
        <v>101004</v>
      </c>
      <c r="M169" s="127">
        <f t="shared" si="20"/>
        <v>139311</v>
      </c>
      <c r="N169" s="127">
        <v>0</v>
      </c>
    </row>
    <row r="170" spans="1:14" ht="75" x14ac:dyDescent="0.25">
      <c r="A170" s="167">
        <v>21</v>
      </c>
      <c r="B170" s="197">
        <v>1617300004</v>
      </c>
      <c r="C170" s="249" t="s">
        <v>439</v>
      </c>
      <c r="D170" s="40" t="s">
        <v>440</v>
      </c>
      <c r="E170" s="187">
        <v>28</v>
      </c>
      <c r="F170" s="131" t="s">
        <v>31</v>
      </c>
      <c r="G170" s="197" t="s">
        <v>107</v>
      </c>
      <c r="H170" s="131">
        <v>1661026</v>
      </c>
      <c r="I170" s="131">
        <f t="shared" si="19"/>
        <v>1661026</v>
      </c>
      <c r="J170" s="131">
        <v>0</v>
      </c>
      <c r="K170" s="250">
        <f>600000+244878+816148</f>
        <v>1661026</v>
      </c>
      <c r="L170" s="178">
        <f>600000+244878+816148</f>
        <v>1661026</v>
      </c>
      <c r="M170" s="127">
        <f t="shared" si="20"/>
        <v>0</v>
      </c>
      <c r="N170" s="127">
        <f>M170</f>
        <v>0</v>
      </c>
    </row>
    <row r="171" spans="1:14" ht="75" x14ac:dyDescent="0.25">
      <c r="A171" s="93">
        <v>22</v>
      </c>
      <c r="B171" s="197">
        <v>1617300005</v>
      </c>
      <c r="C171" s="197" t="s">
        <v>441</v>
      </c>
      <c r="D171" s="197" t="s">
        <v>442</v>
      </c>
      <c r="E171" s="187">
        <v>28</v>
      </c>
      <c r="F171" s="131" t="s">
        <v>31</v>
      </c>
      <c r="G171" s="197" t="s">
        <v>107</v>
      </c>
      <c r="H171" s="40">
        <v>497327</v>
      </c>
      <c r="I171" s="131">
        <f t="shared" si="19"/>
        <v>497327</v>
      </c>
      <c r="J171" s="131">
        <v>0</v>
      </c>
      <c r="K171" s="250">
        <v>286416</v>
      </c>
      <c r="L171" s="178">
        <f>286416</f>
        <v>286416</v>
      </c>
      <c r="M171" s="127">
        <f t="shared" si="20"/>
        <v>210911</v>
      </c>
      <c r="N171" s="127">
        <f>M171</f>
        <v>210911</v>
      </c>
    </row>
    <row r="172" spans="1:14" ht="75" x14ac:dyDescent="0.25">
      <c r="A172" s="167">
        <v>23</v>
      </c>
      <c r="B172" s="40">
        <v>1617300006</v>
      </c>
      <c r="C172" s="40" t="s">
        <v>443</v>
      </c>
      <c r="D172" s="40" t="s">
        <v>444</v>
      </c>
      <c r="E172" s="187">
        <v>28</v>
      </c>
      <c r="F172" s="131" t="s">
        <v>66</v>
      </c>
      <c r="G172" s="197" t="s">
        <v>107</v>
      </c>
      <c r="H172" s="40">
        <v>1521441</v>
      </c>
      <c r="I172" s="131">
        <f t="shared" si="19"/>
        <v>1521441</v>
      </c>
      <c r="J172" s="131">
        <v>0</v>
      </c>
      <c r="K172" s="250">
        <v>673555</v>
      </c>
      <c r="L172" s="178">
        <f>673555</f>
        <v>673555</v>
      </c>
      <c r="M172" s="127">
        <f t="shared" si="20"/>
        <v>847886</v>
      </c>
      <c r="N172" s="127">
        <f>M172</f>
        <v>847886</v>
      </c>
    </row>
    <row r="173" spans="1:14" ht="75" x14ac:dyDescent="0.25">
      <c r="A173" s="93">
        <v>30</v>
      </c>
      <c r="B173" s="79">
        <v>1617300022</v>
      </c>
      <c r="C173" s="176" t="s">
        <v>69</v>
      </c>
      <c r="D173" s="222" t="s">
        <v>464</v>
      </c>
      <c r="E173" s="369">
        <v>28</v>
      </c>
      <c r="F173" s="127" t="s">
        <v>17</v>
      </c>
      <c r="G173" s="197" t="s">
        <v>107</v>
      </c>
      <c r="H173" s="105">
        <v>391414</v>
      </c>
      <c r="I173" s="131">
        <f t="shared" si="19"/>
        <v>391414</v>
      </c>
      <c r="J173" s="177">
        <v>0</v>
      </c>
      <c r="K173" s="250">
        <v>391414</v>
      </c>
      <c r="L173" s="178">
        <f>391414</f>
        <v>391414</v>
      </c>
      <c r="M173" s="127">
        <f t="shared" si="20"/>
        <v>0</v>
      </c>
      <c r="N173" s="127">
        <f>M173</f>
        <v>0</v>
      </c>
    </row>
    <row r="174" spans="1:14" ht="51" x14ac:dyDescent="0.25">
      <c r="A174" s="167">
        <v>7</v>
      </c>
      <c r="B174" s="72">
        <v>300049</v>
      </c>
      <c r="C174" s="65" t="s">
        <v>411</v>
      </c>
      <c r="D174" s="65" t="s">
        <v>412</v>
      </c>
      <c r="E174" s="369">
        <v>29</v>
      </c>
      <c r="F174" s="72" t="s">
        <v>17</v>
      </c>
      <c r="G174" s="52" t="s">
        <v>107</v>
      </c>
      <c r="H174" s="72">
        <v>270000</v>
      </c>
      <c r="I174" s="131">
        <f t="shared" si="19"/>
        <v>80000</v>
      </c>
      <c r="J174" s="72">
        <v>190000</v>
      </c>
      <c r="K174" s="162">
        <v>80000</v>
      </c>
      <c r="L174" s="255">
        <v>80000</v>
      </c>
      <c r="M174" s="52"/>
      <c r="N174" s="127"/>
    </row>
    <row r="175" spans="1:14" ht="75" x14ac:dyDescent="0.25">
      <c r="A175" s="93">
        <v>24</v>
      </c>
      <c r="B175" s="197">
        <v>1617300007</v>
      </c>
      <c r="C175" s="197" t="s">
        <v>445</v>
      </c>
      <c r="D175" s="197" t="s">
        <v>446</v>
      </c>
      <c r="E175" s="369">
        <v>29</v>
      </c>
      <c r="F175" s="127" t="s">
        <v>31</v>
      </c>
      <c r="G175" s="197" t="s">
        <v>107</v>
      </c>
      <c r="H175" s="197">
        <v>487000</v>
      </c>
      <c r="I175" s="131">
        <f t="shared" si="19"/>
        <v>487000</v>
      </c>
      <c r="J175" s="127">
        <v>0</v>
      </c>
      <c r="K175" s="265">
        <f>150000+160000</f>
        <v>310000</v>
      </c>
      <c r="L175" s="178">
        <f>150000+160000</f>
        <v>310000</v>
      </c>
      <c r="M175" s="127">
        <f t="shared" ref="M175:M184" si="21">H175-(J175+K175)</f>
        <v>177000</v>
      </c>
      <c r="N175" s="127">
        <f>M175</f>
        <v>177000</v>
      </c>
    </row>
    <row r="176" spans="1:14" ht="51" x14ac:dyDescent="0.25">
      <c r="A176" s="167">
        <v>33</v>
      </c>
      <c r="B176" s="342" t="s">
        <v>194</v>
      </c>
      <c r="C176" s="131" t="s">
        <v>383</v>
      </c>
      <c r="D176" s="160" t="s">
        <v>473</v>
      </c>
      <c r="E176" s="187">
        <v>29</v>
      </c>
      <c r="F176" s="131" t="s">
        <v>20</v>
      </c>
      <c r="G176" s="176" t="s">
        <v>107</v>
      </c>
      <c r="H176" s="131">
        <v>15800</v>
      </c>
      <c r="I176" s="131">
        <f t="shared" si="19"/>
        <v>15800</v>
      </c>
      <c r="J176" s="131">
        <v>0</v>
      </c>
      <c r="K176" s="250">
        <v>15800</v>
      </c>
      <c r="L176" s="178">
        <v>15800</v>
      </c>
      <c r="M176" s="127">
        <f t="shared" si="21"/>
        <v>0</v>
      </c>
      <c r="N176" s="127">
        <f>M176</f>
        <v>0</v>
      </c>
    </row>
    <row r="177" spans="1:14" ht="60" x14ac:dyDescent="0.25">
      <c r="A177" s="93">
        <v>2</v>
      </c>
      <c r="B177" s="131">
        <v>300037</v>
      </c>
      <c r="C177" s="40" t="s">
        <v>399</v>
      </c>
      <c r="D177" s="222" t="s">
        <v>400</v>
      </c>
      <c r="E177" s="370">
        <v>29</v>
      </c>
      <c r="F177" s="249" t="s">
        <v>17</v>
      </c>
      <c r="G177" s="222" t="s">
        <v>18</v>
      </c>
      <c r="H177" s="131">
        <v>300000</v>
      </c>
      <c r="I177" s="131">
        <f t="shared" si="19"/>
        <v>100000</v>
      </c>
      <c r="J177" s="131">
        <v>200000</v>
      </c>
      <c r="K177" s="250">
        <v>100000</v>
      </c>
      <c r="L177" s="178">
        <f>100000</f>
        <v>100000</v>
      </c>
      <c r="M177" s="127">
        <f t="shared" si="21"/>
        <v>0</v>
      </c>
      <c r="N177" s="127">
        <f>M177</f>
        <v>0</v>
      </c>
    </row>
    <row r="178" spans="1:14" ht="60" x14ac:dyDescent="0.25">
      <c r="A178" s="167">
        <v>13</v>
      </c>
      <c r="B178" s="131">
        <v>300066</v>
      </c>
      <c r="C178" s="40" t="s">
        <v>422</v>
      </c>
      <c r="D178" s="40" t="s">
        <v>423</v>
      </c>
      <c r="E178" s="187">
        <v>29</v>
      </c>
      <c r="F178" s="131" t="s">
        <v>17</v>
      </c>
      <c r="G178" s="197" t="s">
        <v>18</v>
      </c>
      <c r="H178" s="131">
        <v>450000</v>
      </c>
      <c r="I178" s="131">
        <f t="shared" si="19"/>
        <v>450000</v>
      </c>
      <c r="J178" s="131">
        <v>0</v>
      </c>
      <c r="K178" s="250">
        <f>150000+150000+150000</f>
        <v>450000</v>
      </c>
      <c r="L178" s="178">
        <f>150000+150000+150000</f>
        <v>450000</v>
      </c>
      <c r="M178" s="127">
        <f t="shared" si="21"/>
        <v>0</v>
      </c>
      <c r="N178" s="127">
        <f>M178</f>
        <v>0</v>
      </c>
    </row>
    <row r="179" spans="1:14" ht="60" x14ac:dyDescent="0.25">
      <c r="A179" s="167">
        <v>17</v>
      </c>
      <c r="B179" s="131">
        <v>300073</v>
      </c>
      <c r="C179" s="40" t="s">
        <v>430</v>
      </c>
      <c r="D179" s="40" t="s">
        <v>431</v>
      </c>
      <c r="E179" s="187">
        <v>29</v>
      </c>
      <c r="F179" s="131" t="s">
        <v>31</v>
      </c>
      <c r="G179" s="197" t="s">
        <v>18</v>
      </c>
      <c r="H179" s="131">
        <v>300000</v>
      </c>
      <c r="I179" s="131">
        <f t="shared" si="19"/>
        <v>300000</v>
      </c>
      <c r="J179" s="131">
        <v>0</v>
      </c>
      <c r="K179" s="250">
        <v>100000</v>
      </c>
      <c r="L179" s="178">
        <f>100000</f>
        <v>100000</v>
      </c>
      <c r="M179" s="127">
        <f t="shared" si="21"/>
        <v>200000</v>
      </c>
      <c r="N179" s="127">
        <f>M179</f>
        <v>200000</v>
      </c>
    </row>
    <row r="180" spans="1:14" ht="60" x14ac:dyDescent="0.25">
      <c r="A180" s="93">
        <v>28</v>
      </c>
      <c r="B180" s="40">
        <v>1617300019</v>
      </c>
      <c r="C180" s="40" t="s">
        <v>460</v>
      </c>
      <c r="D180" s="40" t="s">
        <v>461</v>
      </c>
      <c r="E180" s="187">
        <v>29</v>
      </c>
      <c r="F180" s="131" t="s">
        <v>31</v>
      </c>
      <c r="G180" s="197" t="s">
        <v>18</v>
      </c>
      <c r="H180" s="131">
        <v>497100</v>
      </c>
      <c r="I180" s="131">
        <f t="shared" si="19"/>
        <v>497100</v>
      </c>
      <c r="J180" s="131">
        <v>0</v>
      </c>
      <c r="K180" s="250">
        <v>165000</v>
      </c>
      <c r="L180" s="178">
        <f>165000</f>
        <v>165000</v>
      </c>
      <c r="M180" s="127">
        <f t="shared" si="21"/>
        <v>332100</v>
      </c>
      <c r="N180" s="127">
        <f>M180/2</f>
        <v>166050</v>
      </c>
    </row>
    <row r="181" spans="1:14" ht="105" x14ac:dyDescent="0.25">
      <c r="A181" s="93">
        <v>32</v>
      </c>
      <c r="B181" s="40">
        <v>1617400030</v>
      </c>
      <c r="C181" s="40" t="s">
        <v>682</v>
      </c>
      <c r="D181" s="40" t="s">
        <v>683</v>
      </c>
      <c r="E181" s="342">
        <v>29</v>
      </c>
      <c r="F181" s="127" t="s">
        <v>500</v>
      </c>
      <c r="G181" s="40" t="s">
        <v>456</v>
      </c>
      <c r="H181" s="40">
        <v>28200</v>
      </c>
      <c r="I181" s="155">
        <f t="shared" si="19"/>
        <v>28200</v>
      </c>
      <c r="J181" s="127">
        <v>0</v>
      </c>
      <c r="K181" s="250">
        <v>25400</v>
      </c>
      <c r="L181" s="255">
        <v>25400</v>
      </c>
      <c r="M181" s="127">
        <f t="shared" si="21"/>
        <v>2800</v>
      </c>
      <c r="N181" s="127">
        <v>0</v>
      </c>
    </row>
    <row r="182" spans="1:14" ht="60" x14ac:dyDescent="0.25">
      <c r="A182" s="93">
        <v>28</v>
      </c>
      <c r="B182" s="40">
        <v>1617400023</v>
      </c>
      <c r="C182" s="40" t="s">
        <v>677</v>
      </c>
      <c r="D182" s="40" t="s">
        <v>678</v>
      </c>
      <c r="E182" s="342">
        <v>29</v>
      </c>
      <c r="F182" s="127" t="s">
        <v>500</v>
      </c>
      <c r="G182" s="40" t="s">
        <v>18</v>
      </c>
      <c r="H182" s="40">
        <v>332900</v>
      </c>
      <c r="I182" s="155">
        <f t="shared" si="19"/>
        <v>332900</v>
      </c>
      <c r="J182" s="127">
        <v>0</v>
      </c>
      <c r="K182" s="250">
        <v>110000</v>
      </c>
      <c r="L182" s="255">
        <v>110000</v>
      </c>
      <c r="M182" s="127">
        <f t="shared" si="21"/>
        <v>222900</v>
      </c>
      <c r="N182" s="127">
        <f>M182/2</f>
        <v>111450</v>
      </c>
    </row>
    <row r="183" spans="1:14" ht="75" x14ac:dyDescent="0.25">
      <c r="A183" s="93">
        <v>18</v>
      </c>
      <c r="B183" s="131">
        <v>300076</v>
      </c>
      <c r="C183" s="195" t="s">
        <v>432</v>
      </c>
      <c r="D183" s="263" t="s">
        <v>433</v>
      </c>
      <c r="E183" s="187">
        <v>30</v>
      </c>
      <c r="F183" s="131" t="s">
        <v>31</v>
      </c>
      <c r="G183" s="263" t="s">
        <v>107</v>
      </c>
      <c r="H183" s="131">
        <f>150000+150000</f>
        <v>300000</v>
      </c>
      <c r="I183" s="131">
        <f t="shared" si="19"/>
        <v>300000</v>
      </c>
      <c r="J183" s="131">
        <v>0</v>
      </c>
      <c r="K183" s="250">
        <f>55500+75750+46750+50000+18500</f>
        <v>246500</v>
      </c>
      <c r="L183" s="178">
        <f>75750+55500+46750+50000+18500+9000+40000</f>
        <v>295500</v>
      </c>
      <c r="M183" s="127">
        <f t="shared" si="21"/>
        <v>53500</v>
      </c>
      <c r="N183" s="127">
        <f>M183</f>
        <v>53500</v>
      </c>
    </row>
    <row r="184" spans="1:14" ht="51" x14ac:dyDescent="0.25">
      <c r="A184" s="167">
        <v>19</v>
      </c>
      <c r="B184" s="131">
        <v>300077</v>
      </c>
      <c r="C184" s="131" t="s">
        <v>434</v>
      </c>
      <c r="D184" s="263" t="s">
        <v>435</v>
      </c>
      <c r="E184" s="187">
        <v>30</v>
      </c>
      <c r="F184" s="131" t="s">
        <v>31</v>
      </c>
      <c r="G184" s="176" t="s">
        <v>107</v>
      </c>
      <c r="H184" s="131">
        <v>450000</v>
      </c>
      <c r="I184" s="131">
        <f t="shared" si="19"/>
        <v>450000</v>
      </c>
      <c r="J184" s="131">
        <v>0</v>
      </c>
      <c r="K184" s="127">
        <f>20000+30000+42000+44000</f>
        <v>136000</v>
      </c>
      <c r="L184" s="230">
        <f>20000+30000+42000+44000</f>
        <v>136000</v>
      </c>
      <c r="M184" s="127">
        <f t="shared" si="21"/>
        <v>314000</v>
      </c>
      <c r="N184" s="105"/>
    </row>
    <row r="185" spans="1:14" ht="120" x14ac:dyDescent="0.25">
      <c r="A185" s="93">
        <v>26</v>
      </c>
      <c r="B185" s="197">
        <v>1617300010</v>
      </c>
      <c r="C185" s="197" t="s">
        <v>449</v>
      </c>
      <c r="D185" s="197" t="s">
        <v>450</v>
      </c>
      <c r="E185" s="187">
        <v>30</v>
      </c>
      <c r="F185" s="131" t="s">
        <v>66</v>
      </c>
      <c r="G185" s="197" t="s">
        <v>107</v>
      </c>
      <c r="H185" s="40">
        <v>167000</v>
      </c>
      <c r="I185" s="131">
        <f t="shared" si="19"/>
        <v>167000</v>
      </c>
      <c r="J185" s="131">
        <v>0</v>
      </c>
      <c r="K185" s="250">
        <v>166976</v>
      </c>
      <c r="L185" s="255">
        <v>166976</v>
      </c>
      <c r="M185" s="127">
        <v>0</v>
      </c>
      <c r="N185" s="127">
        <f>M185</f>
        <v>0</v>
      </c>
    </row>
    <row r="186" spans="1:14" ht="75" x14ac:dyDescent="0.25">
      <c r="A186" s="167">
        <v>27</v>
      </c>
      <c r="B186" s="197">
        <v>1617300013</v>
      </c>
      <c r="C186" s="197" t="s">
        <v>69</v>
      </c>
      <c r="D186" s="197" t="s">
        <v>457</v>
      </c>
      <c r="E186" s="369">
        <v>30</v>
      </c>
      <c r="F186" s="127" t="s">
        <v>20</v>
      </c>
      <c r="G186" s="197" t="s">
        <v>107</v>
      </c>
      <c r="H186" s="197">
        <v>24000</v>
      </c>
      <c r="I186" s="131">
        <f t="shared" si="19"/>
        <v>24000</v>
      </c>
      <c r="J186" s="127">
        <v>0</v>
      </c>
      <c r="K186" s="250">
        <v>24000</v>
      </c>
      <c r="L186" s="255">
        <v>24000</v>
      </c>
      <c r="M186" s="250">
        <f t="shared" ref="M186:M201" si="22">H186-(J186+K186)</f>
        <v>0</v>
      </c>
      <c r="N186" s="127">
        <f>M186</f>
        <v>0</v>
      </c>
    </row>
    <row r="187" spans="1:14" ht="51" x14ac:dyDescent="0.25">
      <c r="A187" s="167">
        <v>31</v>
      </c>
      <c r="B187" s="40" t="s">
        <v>468</v>
      </c>
      <c r="C187" s="131" t="s">
        <v>469</v>
      </c>
      <c r="D187" s="160" t="s">
        <v>470</v>
      </c>
      <c r="E187" s="187">
        <v>30</v>
      </c>
      <c r="F187" s="131" t="s">
        <v>31</v>
      </c>
      <c r="G187" s="176" t="s">
        <v>18</v>
      </c>
      <c r="H187" s="131">
        <v>60000</v>
      </c>
      <c r="I187" s="131">
        <f t="shared" si="19"/>
        <v>60000</v>
      </c>
      <c r="J187" s="131">
        <v>0</v>
      </c>
      <c r="K187" s="250">
        <v>30000</v>
      </c>
      <c r="L187" s="255">
        <v>30000</v>
      </c>
      <c r="M187" s="127">
        <f t="shared" si="22"/>
        <v>30000</v>
      </c>
      <c r="N187" s="127">
        <v>0</v>
      </c>
    </row>
    <row r="188" spans="1:14" ht="60" x14ac:dyDescent="0.25">
      <c r="A188" s="167">
        <v>1</v>
      </c>
      <c r="B188" s="40">
        <v>300003</v>
      </c>
      <c r="C188" s="160" t="s">
        <v>397</v>
      </c>
      <c r="D188" s="40" t="s">
        <v>398</v>
      </c>
      <c r="E188" s="187">
        <v>32</v>
      </c>
      <c r="F188" s="131"/>
      <c r="G188" s="197" t="s">
        <v>18</v>
      </c>
      <c r="H188" s="131">
        <v>247500</v>
      </c>
      <c r="I188" s="131">
        <f t="shared" si="19"/>
        <v>247500</v>
      </c>
      <c r="J188" s="246">
        <v>0</v>
      </c>
      <c r="K188" s="247">
        <f>47500</f>
        <v>47500</v>
      </c>
      <c r="L188" s="178">
        <v>47500</v>
      </c>
      <c r="M188" s="127">
        <f t="shared" si="22"/>
        <v>200000</v>
      </c>
      <c r="N188" s="127">
        <v>0</v>
      </c>
    </row>
    <row r="189" spans="1:14" ht="45" x14ac:dyDescent="0.25">
      <c r="A189" s="93">
        <v>6</v>
      </c>
      <c r="B189" s="131">
        <v>300043</v>
      </c>
      <c r="C189" s="131" t="s">
        <v>409</v>
      </c>
      <c r="D189" s="40" t="s">
        <v>410</v>
      </c>
      <c r="E189" s="187">
        <v>32</v>
      </c>
      <c r="F189" s="131" t="s">
        <v>31</v>
      </c>
      <c r="G189" s="52" t="s">
        <v>18</v>
      </c>
      <c r="H189" s="131">
        <v>193000</v>
      </c>
      <c r="I189" s="131">
        <f t="shared" si="19"/>
        <v>153000</v>
      </c>
      <c r="J189" s="131">
        <v>40000</v>
      </c>
      <c r="K189" s="250">
        <v>30000</v>
      </c>
      <c r="L189" s="255">
        <v>30000</v>
      </c>
      <c r="M189" s="127">
        <f t="shared" si="22"/>
        <v>123000</v>
      </c>
      <c r="N189" s="127">
        <v>0</v>
      </c>
    </row>
    <row r="190" spans="1:14" ht="60" x14ac:dyDescent="0.25">
      <c r="A190" s="93">
        <v>14</v>
      </c>
      <c r="B190" s="131">
        <v>300071</v>
      </c>
      <c r="C190" s="195" t="s">
        <v>424</v>
      </c>
      <c r="D190" s="222" t="s">
        <v>425</v>
      </c>
      <c r="E190" s="187">
        <v>32</v>
      </c>
      <c r="F190" s="131" t="s">
        <v>20</v>
      </c>
      <c r="G190" s="222" t="s">
        <v>18</v>
      </c>
      <c r="H190" s="131">
        <v>15000</v>
      </c>
      <c r="I190" s="131">
        <f t="shared" si="19"/>
        <v>15000</v>
      </c>
      <c r="J190" s="131">
        <v>0</v>
      </c>
      <c r="K190" s="250">
        <v>15000</v>
      </c>
      <c r="L190" s="178">
        <f>15000</f>
        <v>15000</v>
      </c>
      <c r="M190" s="127">
        <f t="shared" si="22"/>
        <v>0</v>
      </c>
      <c r="N190" s="127">
        <f>M190</f>
        <v>0</v>
      </c>
    </row>
    <row r="191" spans="1:14" ht="60" x14ac:dyDescent="0.25">
      <c r="A191" s="167">
        <v>15</v>
      </c>
      <c r="B191" s="131" t="s">
        <v>426</v>
      </c>
      <c r="C191" s="195" t="s">
        <v>427</v>
      </c>
      <c r="D191" s="222" t="s">
        <v>425</v>
      </c>
      <c r="E191" s="368">
        <v>32</v>
      </c>
      <c r="F191" s="105" t="s">
        <v>31</v>
      </c>
      <c r="G191" s="222" t="s">
        <v>18</v>
      </c>
      <c r="H191" s="102">
        <v>197000</v>
      </c>
      <c r="I191" s="131">
        <f t="shared" si="19"/>
        <v>197000</v>
      </c>
      <c r="J191" s="102">
        <v>0</v>
      </c>
      <c r="K191" s="105">
        <v>60000</v>
      </c>
      <c r="L191" s="178">
        <v>60000</v>
      </c>
      <c r="M191" s="127">
        <f t="shared" si="22"/>
        <v>137000</v>
      </c>
      <c r="N191" s="127">
        <v>0</v>
      </c>
    </row>
    <row r="192" spans="1:14" ht="60" x14ac:dyDescent="0.25">
      <c r="A192" s="93">
        <v>32</v>
      </c>
      <c r="B192" s="342" t="s">
        <v>189</v>
      </c>
      <c r="C192" s="131" t="s">
        <v>471</v>
      </c>
      <c r="D192" s="40" t="s">
        <v>472</v>
      </c>
      <c r="E192" s="187">
        <v>32</v>
      </c>
      <c r="F192" s="131" t="s">
        <v>20</v>
      </c>
      <c r="G192" s="197" t="s">
        <v>18</v>
      </c>
      <c r="H192" s="131">
        <v>43675</v>
      </c>
      <c r="I192" s="131">
        <f t="shared" si="19"/>
        <v>43675</v>
      </c>
      <c r="J192" s="131">
        <v>0</v>
      </c>
      <c r="K192" s="250">
        <v>43675</v>
      </c>
      <c r="L192" s="255">
        <v>43675</v>
      </c>
      <c r="M192" s="127">
        <f t="shared" si="22"/>
        <v>0</v>
      </c>
      <c r="N192" s="127">
        <f>M192</f>
        <v>0</v>
      </c>
    </row>
    <row r="193" spans="1:17" ht="24" x14ac:dyDescent="0.2">
      <c r="A193" s="93"/>
      <c r="B193" s="309" t="s">
        <v>732</v>
      </c>
      <c r="C193" s="330" t="s">
        <v>733</v>
      </c>
      <c r="D193" s="330" t="s">
        <v>734</v>
      </c>
      <c r="E193" s="371">
        <v>32</v>
      </c>
      <c r="F193" s="127"/>
      <c r="G193" s="131" t="s">
        <v>18</v>
      </c>
      <c r="H193" s="52">
        <v>145730</v>
      </c>
      <c r="I193" s="155">
        <f t="shared" si="19"/>
        <v>145730</v>
      </c>
      <c r="J193" s="131">
        <v>0</v>
      </c>
      <c r="K193" s="131"/>
      <c r="L193" s="348">
        <v>154468.5</v>
      </c>
      <c r="M193" s="127">
        <f t="shared" si="22"/>
        <v>145730</v>
      </c>
      <c r="N193" s="127">
        <v>0</v>
      </c>
    </row>
    <row r="194" spans="1:17" ht="60" x14ac:dyDescent="0.25">
      <c r="A194" s="93">
        <v>42</v>
      </c>
      <c r="B194" s="131">
        <v>4500017082</v>
      </c>
      <c r="C194" s="131" t="s">
        <v>728</v>
      </c>
      <c r="D194" s="131" t="s">
        <v>729</v>
      </c>
      <c r="E194" s="187">
        <v>32</v>
      </c>
      <c r="F194" s="131" t="s">
        <v>495</v>
      </c>
      <c r="G194" s="40" t="s">
        <v>18</v>
      </c>
      <c r="H194" s="131">
        <v>20286</v>
      </c>
      <c r="I194" s="155">
        <f t="shared" si="19"/>
        <v>20286</v>
      </c>
      <c r="J194" s="131">
        <v>0</v>
      </c>
      <c r="K194" s="250">
        <v>20286</v>
      </c>
      <c r="L194" s="255">
        <v>20286</v>
      </c>
      <c r="M194" s="127">
        <f t="shared" si="22"/>
        <v>0</v>
      </c>
      <c r="N194" s="127">
        <f>M194</f>
        <v>0</v>
      </c>
    </row>
    <row r="195" spans="1:17" ht="60" x14ac:dyDescent="0.25">
      <c r="A195" s="93">
        <v>30</v>
      </c>
      <c r="B195" s="40">
        <v>1617400029</v>
      </c>
      <c r="C195" s="40" t="s">
        <v>680</v>
      </c>
      <c r="D195" s="40" t="s">
        <v>681</v>
      </c>
      <c r="E195" s="342">
        <v>32</v>
      </c>
      <c r="F195" s="127" t="s">
        <v>500</v>
      </c>
      <c r="G195" s="40" t="s">
        <v>18</v>
      </c>
      <c r="H195" s="40">
        <v>450000</v>
      </c>
      <c r="I195" s="155">
        <f t="shared" si="19"/>
        <v>450000</v>
      </c>
      <c r="J195" s="127">
        <v>0</v>
      </c>
      <c r="K195" s="250">
        <v>150000</v>
      </c>
      <c r="L195" s="255">
        <v>150000</v>
      </c>
      <c r="M195" s="127">
        <f t="shared" si="22"/>
        <v>300000</v>
      </c>
      <c r="N195" s="127">
        <v>0</v>
      </c>
    </row>
    <row r="196" spans="1:17" ht="63.75" x14ac:dyDescent="0.25">
      <c r="A196" s="93">
        <v>10</v>
      </c>
      <c r="B196" s="131">
        <v>300053</v>
      </c>
      <c r="C196" s="131" t="s">
        <v>416</v>
      </c>
      <c r="D196" s="259" t="s">
        <v>417</v>
      </c>
      <c r="E196" s="187">
        <v>33</v>
      </c>
      <c r="F196" s="131" t="s">
        <v>31</v>
      </c>
      <c r="G196" s="52" t="s">
        <v>137</v>
      </c>
      <c r="H196" s="131">
        <v>925000</v>
      </c>
      <c r="I196" s="131">
        <f t="shared" si="19"/>
        <v>925000</v>
      </c>
      <c r="J196" s="131">
        <v>0</v>
      </c>
      <c r="K196" s="250">
        <v>300000</v>
      </c>
      <c r="L196" s="178">
        <f>300000</f>
        <v>300000</v>
      </c>
      <c r="M196" s="127">
        <f t="shared" si="22"/>
        <v>625000</v>
      </c>
      <c r="N196" s="127">
        <v>0</v>
      </c>
    </row>
    <row r="197" spans="1:17" ht="90" x14ac:dyDescent="0.25">
      <c r="A197" s="93">
        <v>24</v>
      </c>
      <c r="B197" s="167">
        <v>400032</v>
      </c>
      <c r="C197" s="320" t="s">
        <v>606</v>
      </c>
      <c r="D197" s="331" t="s">
        <v>607</v>
      </c>
      <c r="E197" s="372">
        <v>33</v>
      </c>
      <c r="F197" s="131" t="s">
        <v>500</v>
      </c>
      <c r="G197" s="40" t="s">
        <v>137</v>
      </c>
      <c r="H197" s="102">
        <v>3392148</v>
      </c>
      <c r="I197" s="155">
        <f t="shared" si="19"/>
        <v>3392148</v>
      </c>
      <c r="J197" s="131">
        <v>0</v>
      </c>
      <c r="K197" s="261">
        <v>912210</v>
      </c>
      <c r="L197" s="340">
        <v>1054172</v>
      </c>
      <c r="M197" s="127">
        <f t="shared" si="22"/>
        <v>2479938</v>
      </c>
      <c r="N197" s="127">
        <f>M197/3</f>
        <v>826646</v>
      </c>
    </row>
    <row r="198" spans="1:17" ht="90" x14ac:dyDescent="0.25">
      <c r="A198" s="93">
        <v>16</v>
      </c>
      <c r="B198" s="328">
        <v>400078</v>
      </c>
      <c r="C198" s="329" t="s">
        <v>650</v>
      </c>
      <c r="D198" s="332" t="s">
        <v>651</v>
      </c>
      <c r="E198" s="374">
        <v>34</v>
      </c>
      <c r="F198" s="131" t="s">
        <v>500</v>
      </c>
      <c r="G198" s="40" t="s">
        <v>137</v>
      </c>
      <c r="H198" s="327">
        <v>424095</v>
      </c>
      <c r="I198" s="155">
        <f t="shared" si="19"/>
        <v>424095</v>
      </c>
      <c r="J198" s="131">
        <v>0</v>
      </c>
      <c r="K198" s="250">
        <f>141365</f>
        <v>141365</v>
      </c>
      <c r="L198" s="255">
        <f>141365</f>
        <v>141365</v>
      </c>
      <c r="M198" s="127">
        <f t="shared" si="22"/>
        <v>282730</v>
      </c>
      <c r="N198" s="127">
        <v>0</v>
      </c>
    </row>
    <row r="199" spans="1:17" ht="114.75" x14ac:dyDescent="0.25">
      <c r="A199" s="93">
        <v>2</v>
      </c>
      <c r="B199" s="88">
        <v>400059</v>
      </c>
      <c r="C199" s="258" t="s">
        <v>622</v>
      </c>
      <c r="D199" s="263" t="s">
        <v>623</v>
      </c>
      <c r="E199" s="373">
        <v>35</v>
      </c>
      <c r="F199" s="131" t="s">
        <v>500</v>
      </c>
      <c r="G199" s="40" t="s">
        <v>137</v>
      </c>
      <c r="H199" s="88">
        <v>496000</v>
      </c>
      <c r="I199" s="155">
        <f t="shared" si="19"/>
        <v>496000</v>
      </c>
      <c r="J199" s="131">
        <v>0</v>
      </c>
      <c r="K199" s="250">
        <f>165000+175000</f>
        <v>340000</v>
      </c>
      <c r="L199" s="255">
        <f>165000+175000</f>
        <v>340000</v>
      </c>
      <c r="M199" s="127">
        <f t="shared" si="22"/>
        <v>156000</v>
      </c>
      <c r="N199" s="127">
        <f>M199</f>
        <v>156000</v>
      </c>
    </row>
    <row r="200" spans="1:17" ht="90" x14ac:dyDescent="0.25">
      <c r="A200" s="93">
        <v>19</v>
      </c>
      <c r="B200" s="88">
        <v>400082</v>
      </c>
      <c r="C200" s="131" t="s">
        <v>653</v>
      </c>
      <c r="D200" s="197" t="s">
        <v>654</v>
      </c>
      <c r="E200" s="365">
        <v>36</v>
      </c>
      <c r="F200" s="131" t="s">
        <v>495</v>
      </c>
      <c r="G200" s="40" t="s">
        <v>137</v>
      </c>
      <c r="H200" s="333">
        <f>42400+9840</f>
        <v>52240</v>
      </c>
      <c r="I200" s="155">
        <f t="shared" ref="I200:I231" si="23">H200-J200</f>
        <v>52240</v>
      </c>
      <c r="J200" s="131">
        <v>0</v>
      </c>
      <c r="K200" s="250">
        <f>42400+9840</f>
        <v>52240</v>
      </c>
      <c r="L200" s="255">
        <f>42400+9840</f>
        <v>52240</v>
      </c>
      <c r="M200" s="127">
        <f t="shared" si="22"/>
        <v>0</v>
      </c>
      <c r="N200" s="127">
        <f>M200</f>
        <v>0</v>
      </c>
    </row>
    <row r="201" spans="1:17" ht="90" x14ac:dyDescent="0.25">
      <c r="A201" s="93">
        <v>7</v>
      </c>
      <c r="B201" s="88">
        <v>400065</v>
      </c>
      <c r="C201" s="131" t="s">
        <v>632</v>
      </c>
      <c r="D201" s="40" t="s">
        <v>633</v>
      </c>
      <c r="E201" s="342">
        <v>36</v>
      </c>
      <c r="F201" s="131" t="s">
        <v>500</v>
      </c>
      <c r="G201" s="40" t="s">
        <v>137</v>
      </c>
      <c r="H201" s="88">
        <v>396560</v>
      </c>
      <c r="I201" s="155">
        <f t="shared" si="23"/>
        <v>396560</v>
      </c>
      <c r="J201" s="131">
        <v>0</v>
      </c>
      <c r="K201" s="250">
        <f>150000+150000</f>
        <v>300000</v>
      </c>
      <c r="L201" s="255">
        <f>150000+150000</f>
        <v>300000</v>
      </c>
      <c r="M201" s="127">
        <f t="shared" si="22"/>
        <v>96560</v>
      </c>
      <c r="N201" s="127">
        <f>M201</f>
        <v>96560</v>
      </c>
    </row>
    <row r="202" spans="1:17" ht="90" x14ac:dyDescent="0.25">
      <c r="A202" s="93">
        <v>37</v>
      </c>
      <c r="B202" s="131"/>
      <c r="C202" s="197" t="s">
        <v>197</v>
      </c>
      <c r="D202" s="197" t="s">
        <v>596</v>
      </c>
      <c r="E202" s="365">
        <v>37</v>
      </c>
      <c r="F202" s="127" t="s">
        <v>500</v>
      </c>
      <c r="G202" s="52" t="s">
        <v>137</v>
      </c>
      <c r="H202" s="127">
        <v>590000</v>
      </c>
      <c r="I202" s="40">
        <f t="shared" si="23"/>
        <v>590000</v>
      </c>
      <c r="J202" s="127">
        <v>0</v>
      </c>
      <c r="K202" s="127">
        <v>445000</v>
      </c>
      <c r="L202" s="178">
        <v>455000</v>
      </c>
      <c r="M202" s="127">
        <f>H202-(J202+L202)</f>
        <v>135000</v>
      </c>
      <c r="N202" s="127">
        <f>M202</f>
        <v>135000</v>
      </c>
    </row>
    <row r="203" spans="1:17" ht="51" x14ac:dyDescent="0.25">
      <c r="A203" s="9">
        <v>50</v>
      </c>
      <c r="B203" s="79">
        <v>1617100034</v>
      </c>
      <c r="C203" s="79" t="s">
        <v>135</v>
      </c>
      <c r="D203" s="79" t="s">
        <v>136</v>
      </c>
      <c r="E203" s="167">
        <v>38</v>
      </c>
      <c r="F203" s="59" t="s">
        <v>31</v>
      </c>
      <c r="G203" s="132" t="s">
        <v>137</v>
      </c>
      <c r="H203" s="79">
        <v>419000</v>
      </c>
      <c r="I203" s="100">
        <f t="shared" si="23"/>
        <v>419000</v>
      </c>
      <c r="J203" s="59">
        <v>0</v>
      </c>
      <c r="K203" s="59">
        <v>0</v>
      </c>
      <c r="L203" s="74">
        <v>100000</v>
      </c>
      <c r="M203" s="14">
        <f>H203-(J203+L203)</f>
        <v>319000</v>
      </c>
      <c r="N203" s="27">
        <v>0</v>
      </c>
      <c r="O203" s="62"/>
      <c r="P203" s="62"/>
      <c r="Q203" s="17">
        <f>K203-L203</f>
        <v>-100000</v>
      </c>
    </row>
    <row r="204" spans="1:17" ht="90" x14ac:dyDescent="0.25">
      <c r="A204" s="93">
        <v>25</v>
      </c>
      <c r="B204" s="168">
        <v>400050</v>
      </c>
      <c r="C204" s="318" t="s">
        <v>610</v>
      </c>
      <c r="D204" s="331" t="s">
        <v>611</v>
      </c>
      <c r="E204" s="372">
        <v>38</v>
      </c>
      <c r="F204" s="131" t="s">
        <v>500</v>
      </c>
      <c r="G204" s="40" t="s">
        <v>137</v>
      </c>
      <c r="H204" s="334">
        <v>376000</v>
      </c>
      <c r="I204" s="155">
        <f t="shared" si="23"/>
        <v>226000</v>
      </c>
      <c r="J204" s="131">
        <v>150000</v>
      </c>
      <c r="K204" s="250">
        <v>0</v>
      </c>
      <c r="L204" s="255">
        <v>200000</v>
      </c>
      <c r="M204" s="127">
        <f t="shared" ref="M204:M211" si="24">H204-(J204+K204)</f>
        <v>226000</v>
      </c>
      <c r="N204" s="127">
        <v>0</v>
      </c>
    </row>
    <row r="205" spans="1:17" ht="63.75" x14ac:dyDescent="0.25">
      <c r="A205" s="167"/>
      <c r="B205" s="79">
        <v>1617400053</v>
      </c>
      <c r="C205" s="65" t="s">
        <v>702</v>
      </c>
      <c r="D205" s="79" t="s">
        <v>703</v>
      </c>
      <c r="E205" s="167">
        <v>38</v>
      </c>
      <c r="F205" s="127" t="s">
        <v>500</v>
      </c>
      <c r="G205" s="79" t="s">
        <v>137</v>
      </c>
      <c r="H205" s="79">
        <v>464200</v>
      </c>
      <c r="I205" s="155">
        <f t="shared" si="23"/>
        <v>464200</v>
      </c>
      <c r="J205" s="127">
        <v>0</v>
      </c>
      <c r="K205" s="250">
        <v>100000</v>
      </c>
      <c r="L205" s="255">
        <v>100000</v>
      </c>
      <c r="M205" s="127">
        <f t="shared" si="24"/>
        <v>364200</v>
      </c>
      <c r="N205" s="127">
        <v>0</v>
      </c>
    </row>
    <row r="206" spans="1:17" ht="105" x14ac:dyDescent="0.25">
      <c r="A206" s="167">
        <v>29</v>
      </c>
      <c r="B206" s="79">
        <v>1617300020</v>
      </c>
      <c r="C206" s="67" t="s">
        <v>462</v>
      </c>
      <c r="D206" s="79" t="s">
        <v>463</v>
      </c>
      <c r="E206" s="369">
        <v>39</v>
      </c>
      <c r="F206" s="127" t="s">
        <v>20</v>
      </c>
      <c r="G206" s="197" t="s">
        <v>456</v>
      </c>
      <c r="H206" s="58">
        <v>275000</v>
      </c>
      <c r="I206" s="131">
        <f t="shared" si="23"/>
        <v>275000</v>
      </c>
      <c r="J206" s="127">
        <v>0</v>
      </c>
      <c r="K206" s="250">
        <v>275000</v>
      </c>
      <c r="L206" s="178">
        <f>275000</f>
        <v>275000</v>
      </c>
      <c r="M206" s="127">
        <f t="shared" si="24"/>
        <v>0</v>
      </c>
      <c r="N206" s="127">
        <v>0</v>
      </c>
    </row>
    <row r="207" spans="1:17" ht="105" x14ac:dyDescent="0.25">
      <c r="A207" s="72"/>
      <c r="B207" s="167">
        <v>400047</v>
      </c>
      <c r="C207" s="176" t="s">
        <v>606</v>
      </c>
      <c r="D207" s="106" t="s">
        <v>608</v>
      </c>
      <c r="E207" s="168">
        <v>39</v>
      </c>
      <c r="F207" s="127" t="s">
        <v>112</v>
      </c>
      <c r="G207" s="40" t="s">
        <v>609</v>
      </c>
      <c r="H207" s="102">
        <v>221000</v>
      </c>
      <c r="I207" s="155">
        <f t="shared" si="23"/>
        <v>101000</v>
      </c>
      <c r="J207" s="105">
        <v>120000</v>
      </c>
      <c r="K207" s="105">
        <v>100000</v>
      </c>
      <c r="L207" s="230">
        <v>100000</v>
      </c>
      <c r="M207" s="127">
        <f t="shared" si="24"/>
        <v>1000</v>
      </c>
      <c r="N207" s="127">
        <v>0</v>
      </c>
    </row>
    <row r="208" spans="1:17" ht="105" x14ac:dyDescent="0.25">
      <c r="A208" s="93">
        <v>39</v>
      </c>
      <c r="B208" s="40">
        <v>1617400021</v>
      </c>
      <c r="C208" s="131" t="s">
        <v>675</v>
      </c>
      <c r="D208" s="176" t="s">
        <v>676</v>
      </c>
      <c r="E208" s="167">
        <v>39</v>
      </c>
      <c r="F208" s="131" t="s">
        <v>112</v>
      </c>
      <c r="G208" s="40" t="s">
        <v>456</v>
      </c>
      <c r="H208" s="131">
        <v>400000</v>
      </c>
      <c r="I208" s="155">
        <f t="shared" si="23"/>
        <v>400000</v>
      </c>
      <c r="J208" s="131">
        <v>0</v>
      </c>
      <c r="K208" s="250">
        <v>400000</v>
      </c>
      <c r="L208" s="255">
        <f>200000+200000</f>
        <v>400000</v>
      </c>
      <c r="M208" s="127">
        <f t="shared" si="24"/>
        <v>0</v>
      </c>
      <c r="N208" s="127">
        <f>M208</f>
        <v>0</v>
      </c>
    </row>
    <row r="209" spans="1:14" ht="76.5" x14ac:dyDescent="0.25">
      <c r="A209" s="93"/>
      <c r="B209" s="52">
        <v>1617400042</v>
      </c>
      <c r="C209" s="131" t="s">
        <v>397</v>
      </c>
      <c r="D209" s="52" t="s">
        <v>694</v>
      </c>
      <c r="E209" s="93">
        <v>39</v>
      </c>
      <c r="F209" s="127" t="s">
        <v>112</v>
      </c>
      <c r="G209" s="79" t="s">
        <v>456</v>
      </c>
      <c r="H209" s="52">
        <v>500000</v>
      </c>
      <c r="I209" s="155">
        <f t="shared" si="23"/>
        <v>500000</v>
      </c>
      <c r="J209" s="131">
        <v>0</v>
      </c>
      <c r="K209" s="131">
        <v>495000</v>
      </c>
      <c r="L209" s="178">
        <v>495000</v>
      </c>
      <c r="M209" s="127">
        <f t="shared" si="24"/>
        <v>5000</v>
      </c>
      <c r="N209" s="127">
        <v>0</v>
      </c>
    </row>
    <row r="210" spans="1:14" ht="76.5" x14ac:dyDescent="0.25">
      <c r="A210" s="93"/>
      <c r="B210" s="88">
        <v>400067</v>
      </c>
      <c r="C210" s="47"/>
      <c r="D210" s="263" t="s">
        <v>636</v>
      </c>
      <c r="E210" s="373">
        <v>39</v>
      </c>
      <c r="F210" s="131" t="s">
        <v>495</v>
      </c>
      <c r="G210" s="52" t="s">
        <v>456</v>
      </c>
      <c r="H210" s="88">
        <v>24150</v>
      </c>
      <c r="I210" s="155">
        <f t="shared" si="23"/>
        <v>24150</v>
      </c>
      <c r="J210" s="131">
        <v>0</v>
      </c>
      <c r="K210" s="265">
        <v>24150</v>
      </c>
      <c r="L210" s="336">
        <v>24150</v>
      </c>
      <c r="M210" s="127">
        <f t="shared" si="24"/>
        <v>0</v>
      </c>
      <c r="N210" s="127">
        <f>M210</f>
        <v>0</v>
      </c>
    </row>
    <row r="211" spans="1:14" ht="105" x14ac:dyDescent="0.25">
      <c r="A211" s="93">
        <v>9</v>
      </c>
      <c r="B211" s="88">
        <v>400068</v>
      </c>
      <c r="C211" s="197"/>
      <c r="D211" s="280" t="s">
        <v>637</v>
      </c>
      <c r="E211" s="374">
        <v>39</v>
      </c>
      <c r="F211" s="131" t="s">
        <v>495</v>
      </c>
      <c r="G211" s="40" t="s">
        <v>456</v>
      </c>
      <c r="H211" s="88">
        <v>92138</v>
      </c>
      <c r="I211" s="155">
        <f t="shared" si="23"/>
        <v>92138</v>
      </c>
      <c r="J211" s="131">
        <v>0</v>
      </c>
      <c r="K211" s="250">
        <v>92138</v>
      </c>
      <c r="L211" s="255">
        <v>92138</v>
      </c>
      <c r="M211" s="127">
        <f t="shared" si="24"/>
        <v>0</v>
      </c>
      <c r="N211" s="127">
        <f>M211</f>
        <v>0</v>
      </c>
    </row>
    <row r="212" spans="1:14" ht="105" x14ac:dyDescent="0.25">
      <c r="A212" s="93">
        <v>31</v>
      </c>
      <c r="B212" s="40">
        <v>1617400026</v>
      </c>
      <c r="C212" s="40" t="s">
        <v>69</v>
      </c>
      <c r="D212" s="197" t="s">
        <v>679</v>
      </c>
      <c r="E212" s="365">
        <v>39</v>
      </c>
      <c r="F212" s="127" t="s">
        <v>495</v>
      </c>
      <c r="G212" s="40" t="s">
        <v>456</v>
      </c>
      <c r="H212" s="40">
        <v>92000</v>
      </c>
      <c r="I212" s="155">
        <f t="shared" si="23"/>
        <v>92000</v>
      </c>
      <c r="J212" s="127">
        <v>0</v>
      </c>
      <c r="K212" s="250">
        <v>89370</v>
      </c>
      <c r="L212" s="255">
        <v>89370</v>
      </c>
      <c r="M212" s="127">
        <v>0</v>
      </c>
      <c r="N212" s="127">
        <f>M212</f>
        <v>0</v>
      </c>
    </row>
    <row r="213" spans="1:14" ht="76.5" x14ac:dyDescent="0.25">
      <c r="A213" s="93">
        <v>19</v>
      </c>
      <c r="B213" s="286" t="s">
        <v>737</v>
      </c>
      <c r="C213" s="222" t="s">
        <v>471</v>
      </c>
      <c r="D213" s="52" t="s">
        <v>738</v>
      </c>
      <c r="E213" s="93">
        <v>39</v>
      </c>
      <c r="F213" s="285" t="s">
        <v>495</v>
      </c>
      <c r="G213" s="52" t="s">
        <v>456</v>
      </c>
      <c r="H213" s="289">
        <v>35200</v>
      </c>
      <c r="I213" s="155">
        <f t="shared" si="23"/>
        <v>35200</v>
      </c>
      <c r="J213" s="289">
        <v>0</v>
      </c>
      <c r="K213" s="158">
        <v>35000</v>
      </c>
      <c r="L213" s="290">
        <v>35000</v>
      </c>
      <c r="M213" s="127">
        <v>0</v>
      </c>
      <c r="N213" s="127">
        <f>M213</f>
        <v>0</v>
      </c>
    </row>
    <row r="214" spans="1:14" ht="105" x14ac:dyDescent="0.25">
      <c r="A214" s="93">
        <v>8</v>
      </c>
      <c r="B214" s="88">
        <v>400067</v>
      </c>
      <c r="C214" s="279" t="s">
        <v>634</v>
      </c>
      <c r="D214" s="280" t="s">
        <v>635</v>
      </c>
      <c r="E214" s="374">
        <v>39</v>
      </c>
      <c r="F214" s="131" t="s">
        <v>500</v>
      </c>
      <c r="G214" s="40" t="s">
        <v>456</v>
      </c>
      <c r="H214" s="88">
        <v>2248000</v>
      </c>
      <c r="I214" s="155">
        <f t="shared" si="23"/>
        <v>2248000</v>
      </c>
      <c r="J214" s="131">
        <v>0</v>
      </c>
      <c r="K214" s="250">
        <f>211040+211040+130511+130211</f>
        <v>682802</v>
      </c>
      <c r="L214" s="255">
        <f>211040+211040+130511+130211</f>
        <v>682802</v>
      </c>
      <c r="M214" s="127">
        <f t="shared" ref="M214:M219" si="25">H214-(J214+K214)</f>
        <v>1565198</v>
      </c>
      <c r="N214" s="127">
        <v>0</v>
      </c>
    </row>
    <row r="215" spans="1:14" ht="105" x14ac:dyDescent="0.25">
      <c r="A215" s="93">
        <v>10</v>
      </c>
      <c r="B215" s="88">
        <v>400069</v>
      </c>
      <c r="C215" s="279" t="s">
        <v>638</v>
      </c>
      <c r="D215" s="279" t="s">
        <v>639</v>
      </c>
      <c r="E215" s="375">
        <v>39</v>
      </c>
      <c r="F215" s="131" t="s">
        <v>500</v>
      </c>
      <c r="G215" s="40" t="s">
        <v>456</v>
      </c>
      <c r="H215" s="88">
        <v>300000</v>
      </c>
      <c r="I215" s="155">
        <f t="shared" si="23"/>
        <v>300000</v>
      </c>
      <c r="J215" s="131">
        <v>0</v>
      </c>
      <c r="K215" s="250">
        <f>52500</f>
        <v>52500</v>
      </c>
      <c r="L215" s="255">
        <f>52500</f>
        <v>52500</v>
      </c>
      <c r="M215" s="127">
        <f t="shared" si="25"/>
        <v>247500</v>
      </c>
      <c r="N215" s="127">
        <v>0</v>
      </c>
    </row>
    <row r="216" spans="1:14" ht="105" x14ac:dyDescent="0.25">
      <c r="A216" s="93">
        <v>21</v>
      </c>
      <c r="B216" s="88">
        <v>400086</v>
      </c>
      <c r="C216" s="131" t="s">
        <v>657</v>
      </c>
      <c r="D216" s="197" t="s">
        <v>658</v>
      </c>
      <c r="E216" s="365">
        <v>39</v>
      </c>
      <c r="F216" s="131" t="s">
        <v>500</v>
      </c>
      <c r="G216" s="40" t="s">
        <v>456</v>
      </c>
      <c r="H216" s="333">
        <v>1800000</v>
      </c>
      <c r="I216" s="155">
        <f t="shared" si="23"/>
        <v>1800000</v>
      </c>
      <c r="J216" s="131">
        <v>0</v>
      </c>
      <c r="K216" s="250">
        <f>115500+110000</f>
        <v>225500</v>
      </c>
      <c r="L216" s="255">
        <f>115500+110000+147720</f>
        <v>373220</v>
      </c>
      <c r="M216" s="127">
        <f t="shared" si="25"/>
        <v>1574500</v>
      </c>
      <c r="N216" s="127">
        <v>0</v>
      </c>
    </row>
    <row r="217" spans="1:14" ht="105" x14ac:dyDescent="0.25">
      <c r="A217" s="93">
        <v>35</v>
      </c>
      <c r="B217" s="40">
        <v>1617400006</v>
      </c>
      <c r="C217" s="40" t="s">
        <v>662</v>
      </c>
      <c r="D217" s="197" t="s">
        <v>663</v>
      </c>
      <c r="E217" s="365">
        <v>39</v>
      </c>
      <c r="F217" s="131" t="s">
        <v>500</v>
      </c>
      <c r="G217" s="40" t="s">
        <v>456</v>
      </c>
      <c r="H217" s="40">
        <v>920000</v>
      </c>
      <c r="I217" s="155">
        <f t="shared" si="23"/>
        <v>920000</v>
      </c>
      <c r="J217" s="131">
        <v>0</v>
      </c>
      <c r="K217" s="250">
        <v>300000</v>
      </c>
      <c r="L217" s="255">
        <v>300000</v>
      </c>
      <c r="M217" s="127">
        <f t="shared" si="25"/>
        <v>620000</v>
      </c>
      <c r="N217" s="127">
        <v>0</v>
      </c>
    </row>
    <row r="218" spans="1:14" ht="24" x14ac:dyDescent="0.2">
      <c r="A218" s="93"/>
      <c r="B218" s="310">
        <v>4500017091</v>
      </c>
      <c r="C218" s="330" t="s">
        <v>735</v>
      </c>
      <c r="D218" s="330" t="s">
        <v>736</v>
      </c>
      <c r="E218" s="371">
        <v>39</v>
      </c>
      <c r="F218" s="127"/>
      <c r="G218" s="131" t="s">
        <v>609</v>
      </c>
      <c r="H218" s="52">
        <v>194940</v>
      </c>
      <c r="I218" s="155">
        <f t="shared" si="23"/>
        <v>194940</v>
      </c>
      <c r="J218" s="131">
        <v>0</v>
      </c>
      <c r="K218" s="131"/>
      <c r="L218" s="335">
        <v>206636.4</v>
      </c>
      <c r="M218" s="127">
        <f t="shared" si="25"/>
        <v>194940</v>
      </c>
      <c r="N218" s="337">
        <v>0</v>
      </c>
    </row>
    <row r="219" spans="1:14" ht="63.75" x14ac:dyDescent="0.25">
      <c r="A219" s="93"/>
      <c r="B219" s="30">
        <v>400002</v>
      </c>
      <c r="C219" s="280" t="s">
        <v>601</v>
      </c>
      <c r="D219" s="280" t="s">
        <v>602</v>
      </c>
      <c r="E219" s="374">
        <v>39</v>
      </c>
      <c r="F219" s="131" t="s">
        <v>500</v>
      </c>
      <c r="G219" s="52" t="s">
        <v>137</v>
      </c>
      <c r="H219" s="88">
        <v>265000</v>
      </c>
      <c r="I219" s="155">
        <f t="shared" si="23"/>
        <v>180000</v>
      </c>
      <c r="J219" s="131">
        <v>85000</v>
      </c>
      <c r="K219" s="265">
        <v>85000</v>
      </c>
      <c r="L219" s="336">
        <v>85000</v>
      </c>
      <c r="M219" s="127">
        <f t="shared" si="25"/>
        <v>95000</v>
      </c>
      <c r="N219" s="127">
        <f>M219</f>
        <v>95000</v>
      </c>
    </row>
    <row r="220" spans="1:14" ht="38.25" x14ac:dyDescent="0.25">
      <c r="A220" s="93"/>
      <c r="B220" s="88">
        <v>400027</v>
      </c>
      <c r="C220" s="280"/>
      <c r="D220" s="280" t="s">
        <v>603</v>
      </c>
      <c r="E220" s="374">
        <v>40</v>
      </c>
      <c r="F220" s="131" t="s">
        <v>495</v>
      </c>
      <c r="G220" s="52" t="s">
        <v>18</v>
      </c>
      <c r="H220" s="88">
        <v>146362</v>
      </c>
      <c r="I220" s="155">
        <f t="shared" si="23"/>
        <v>146362</v>
      </c>
      <c r="J220" s="131">
        <v>0</v>
      </c>
      <c r="K220" s="265"/>
      <c r="L220" s="336">
        <f>82159+23100+41103</f>
        <v>146362</v>
      </c>
      <c r="M220" s="127">
        <v>0</v>
      </c>
      <c r="N220" s="127">
        <v>0</v>
      </c>
    </row>
    <row r="221" spans="1:14" ht="75" x14ac:dyDescent="0.25">
      <c r="A221" s="93">
        <v>5</v>
      </c>
      <c r="B221" s="88">
        <v>400062</v>
      </c>
      <c r="C221" s="47" t="s">
        <v>628</v>
      </c>
      <c r="D221" s="280" t="s">
        <v>629</v>
      </c>
      <c r="E221" s="374">
        <v>40</v>
      </c>
      <c r="F221" s="131" t="s">
        <v>495</v>
      </c>
      <c r="G221" s="52" t="s">
        <v>18</v>
      </c>
      <c r="H221" s="88">
        <v>74128</v>
      </c>
      <c r="I221" s="155">
        <f t="shared" si="23"/>
        <v>74128</v>
      </c>
      <c r="J221" s="131">
        <v>0</v>
      </c>
      <c r="K221" s="250">
        <v>74128</v>
      </c>
      <c r="L221" s="255">
        <v>74128</v>
      </c>
      <c r="M221" s="127">
        <f>H221-(J221+K221)</f>
        <v>0</v>
      </c>
      <c r="N221" s="127">
        <f t="shared" ref="N221:N226" si="26">M221</f>
        <v>0</v>
      </c>
    </row>
    <row r="222" spans="1:14" ht="60" x14ac:dyDescent="0.25">
      <c r="A222" s="93">
        <v>13</v>
      </c>
      <c r="B222" s="88">
        <v>400075</v>
      </c>
      <c r="C222" s="47" t="s">
        <v>644</v>
      </c>
      <c r="D222" s="60" t="s">
        <v>645</v>
      </c>
      <c r="E222" s="376">
        <v>40</v>
      </c>
      <c r="F222" s="131" t="s">
        <v>495</v>
      </c>
      <c r="G222" s="40" t="s">
        <v>18</v>
      </c>
      <c r="H222" s="88">
        <v>100000</v>
      </c>
      <c r="I222" s="155">
        <f t="shared" si="23"/>
        <v>100000</v>
      </c>
      <c r="J222" s="131">
        <v>0</v>
      </c>
      <c r="K222" s="250">
        <v>100000</v>
      </c>
      <c r="L222" s="255">
        <v>100000</v>
      </c>
      <c r="M222" s="127">
        <f>H222-(J222+K222)</f>
        <v>0</v>
      </c>
      <c r="N222" s="127">
        <f t="shared" si="26"/>
        <v>0</v>
      </c>
    </row>
    <row r="223" spans="1:14" ht="60" x14ac:dyDescent="0.25">
      <c r="A223" s="93">
        <v>38</v>
      </c>
      <c r="B223" s="40">
        <v>1617400009</v>
      </c>
      <c r="C223" s="131" t="s">
        <v>664</v>
      </c>
      <c r="D223" s="176" t="s">
        <v>665</v>
      </c>
      <c r="E223" s="167">
        <v>40</v>
      </c>
      <c r="F223" s="131" t="s">
        <v>495</v>
      </c>
      <c r="G223" s="40" t="s">
        <v>18</v>
      </c>
      <c r="H223" s="131">
        <v>85000</v>
      </c>
      <c r="I223" s="155">
        <f t="shared" si="23"/>
        <v>85000</v>
      </c>
      <c r="J223" s="131">
        <v>0</v>
      </c>
      <c r="K223" s="250">
        <v>85000</v>
      </c>
      <c r="L223" s="255">
        <v>85000</v>
      </c>
      <c r="M223" s="127">
        <f>H223-(J223+K223)</f>
        <v>0</v>
      </c>
      <c r="N223" s="127">
        <f t="shared" si="26"/>
        <v>0</v>
      </c>
    </row>
    <row r="224" spans="1:14" ht="76.5" x14ac:dyDescent="0.25">
      <c r="A224" s="93"/>
      <c r="B224" s="88">
        <v>1617400010</v>
      </c>
      <c r="C224" s="47" t="s">
        <v>646</v>
      </c>
      <c r="D224" s="263" t="s">
        <v>666</v>
      </c>
      <c r="E224" s="373">
        <v>40</v>
      </c>
      <c r="F224" s="131" t="s">
        <v>495</v>
      </c>
      <c r="G224" s="40" t="s">
        <v>18</v>
      </c>
      <c r="H224" s="88">
        <v>445000</v>
      </c>
      <c r="I224" s="155">
        <f t="shared" si="23"/>
        <v>445000</v>
      </c>
      <c r="J224" s="131">
        <v>0</v>
      </c>
      <c r="K224" s="250">
        <v>443900</v>
      </c>
      <c r="L224" s="255">
        <v>443900</v>
      </c>
      <c r="M224" s="127">
        <v>0</v>
      </c>
      <c r="N224" s="127">
        <f t="shared" si="26"/>
        <v>0</v>
      </c>
    </row>
    <row r="225" spans="1:14" ht="60" x14ac:dyDescent="0.25">
      <c r="A225" s="93">
        <v>27</v>
      </c>
      <c r="B225" s="40">
        <v>1617400017</v>
      </c>
      <c r="C225" s="40" t="s">
        <v>671</v>
      </c>
      <c r="D225" s="197" t="s">
        <v>672</v>
      </c>
      <c r="E225" s="365">
        <v>40</v>
      </c>
      <c r="F225" s="127" t="s">
        <v>495</v>
      </c>
      <c r="G225" s="40" t="s">
        <v>18</v>
      </c>
      <c r="H225" s="40">
        <v>40000</v>
      </c>
      <c r="I225" s="155">
        <f t="shared" si="23"/>
        <v>40000</v>
      </c>
      <c r="J225" s="127">
        <v>0</v>
      </c>
      <c r="K225" s="250">
        <v>40000</v>
      </c>
      <c r="L225" s="255">
        <v>40000</v>
      </c>
      <c r="M225" s="127">
        <f t="shared" ref="M225:M232" si="27">H225-(J225+K225)</f>
        <v>0</v>
      </c>
      <c r="N225" s="127">
        <f t="shared" si="26"/>
        <v>0</v>
      </c>
    </row>
    <row r="226" spans="1:14" ht="60" x14ac:dyDescent="0.25">
      <c r="A226" s="93">
        <v>41</v>
      </c>
      <c r="B226" s="40">
        <v>1617400041</v>
      </c>
      <c r="C226" s="40" t="s">
        <v>692</v>
      </c>
      <c r="D226" s="40" t="s">
        <v>693</v>
      </c>
      <c r="E226" s="342">
        <v>40</v>
      </c>
      <c r="F226" s="131" t="s">
        <v>495</v>
      </c>
      <c r="G226" s="40" t="s">
        <v>18</v>
      </c>
      <c r="H226" s="131">
        <v>17500</v>
      </c>
      <c r="I226" s="155">
        <f t="shared" si="23"/>
        <v>17500</v>
      </c>
      <c r="J226" s="131">
        <v>0</v>
      </c>
      <c r="K226" s="250">
        <v>17500</v>
      </c>
      <c r="L226" s="255">
        <v>17500</v>
      </c>
      <c r="M226" s="127">
        <f t="shared" si="27"/>
        <v>0</v>
      </c>
      <c r="N226" s="127">
        <f t="shared" si="26"/>
        <v>0</v>
      </c>
    </row>
    <row r="227" spans="1:14" ht="63.75" x14ac:dyDescent="0.25">
      <c r="A227" s="93">
        <v>14</v>
      </c>
      <c r="B227" s="88">
        <v>400076</v>
      </c>
      <c r="C227" s="47" t="s">
        <v>646</v>
      </c>
      <c r="D227" s="263" t="s">
        <v>647</v>
      </c>
      <c r="E227" s="373">
        <v>40</v>
      </c>
      <c r="F227" s="131" t="s">
        <v>500</v>
      </c>
      <c r="G227" s="40" t="s">
        <v>18</v>
      </c>
      <c r="H227" s="327">
        <v>725000</v>
      </c>
      <c r="I227" s="155">
        <f t="shared" si="23"/>
        <v>725000</v>
      </c>
      <c r="J227" s="131">
        <v>0</v>
      </c>
      <c r="K227" s="250">
        <f>706800</f>
        <v>706800</v>
      </c>
      <c r="L227" s="255">
        <f>706800</f>
        <v>706800</v>
      </c>
      <c r="M227" s="127">
        <f t="shared" si="27"/>
        <v>18200</v>
      </c>
      <c r="N227" s="127">
        <v>0</v>
      </c>
    </row>
    <row r="228" spans="1:14" ht="60" x14ac:dyDescent="0.25">
      <c r="A228" s="93">
        <v>15</v>
      </c>
      <c r="B228" s="328">
        <v>400077</v>
      </c>
      <c r="C228" s="47" t="s">
        <v>648</v>
      </c>
      <c r="D228" s="263" t="s">
        <v>649</v>
      </c>
      <c r="E228" s="373">
        <v>40</v>
      </c>
      <c r="F228" s="131" t="s">
        <v>500</v>
      </c>
      <c r="G228" s="40" t="s">
        <v>18</v>
      </c>
      <c r="H228" s="88">
        <v>2000000</v>
      </c>
      <c r="I228" s="155">
        <f t="shared" si="23"/>
        <v>2000000</v>
      </c>
      <c r="J228" s="131">
        <v>0</v>
      </c>
      <c r="K228" s="250">
        <f>305807+215800+195040</f>
        <v>716647</v>
      </c>
      <c r="L228" s="255">
        <f>305807+215800+195040</f>
        <v>716647</v>
      </c>
      <c r="M228" s="127">
        <f t="shared" si="27"/>
        <v>1283353</v>
      </c>
      <c r="N228" s="127">
        <v>0</v>
      </c>
    </row>
    <row r="229" spans="1:14" ht="105" x14ac:dyDescent="0.25">
      <c r="A229" s="93"/>
      <c r="B229" s="88">
        <v>400029</v>
      </c>
      <c r="C229" s="47" t="s">
        <v>604</v>
      </c>
      <c r="D229" s="263" t="s">
        <v>605</v>
      </c>
      <c r="E229" s="373">
        <v>41</v>
      </c>
      <c r="F229" s="131" t="s">
        <v>495</v>
      </c>
      <c r="G229" s="40" t="s">
        <v>456</v>
      </c>
      <c r="H229" s="88">
        <v>56200</v>
      </c>
      <c r="I229" s="155">
        <f t="shared" si="23"/>
        <v>56200</v>
      </c>
      <c r="J229" s="131">
        <v>0</v>
      </c>
      <c r="K229" s="265">
        <v>56200</v>
      </c>
      <c r="L229" s="336">
        <v>56200</v>
      </c>
      <c r="M229" s="127">
        <f t="shared" si="27"/>
        <v>0</v>
      </c>
      <c r="N229" s="127">
        <f>M229</f>
        <v>0</v>
      </c>
    </row>
    <row r="230" spans="1:14" ht="105" x14ac:dyDescent="0.25">
      <c r="A230" s="93">
        <v>33</v>
      </c>
      <c r="B230" s="40">
        <v>1617400002</v>
      </c>
      <c r="C230" s="40" t="s">
        <v>659</v>
      </c>
      <c r="D230" s="65" t="s">
        <v>660</v>
      </c>
      <c r="E230" s="355">
        <v>41</v>
      </c>
      <c r="F230" s="105" t="s">
        <v>495</v>
      </c>
      <c r="G230" s="40" t="s">
        <v>456</v>
      </c>
      <c r="H230" s="40">
        <v>100000</v>
      </c>
      <c r="I230" s="155">
        <f t="shared" si="23"/>
        <v>100000</v>
      </c>
      <c r="J230" s="102">
        <v>0</v>
      </c>
      <c r="K230" s="105">
        <f>50000+50000</f>
        <v>100000</v>
      </c>
      <c r="L230" s="230">
        <f>50000+50000</f>
        <v>100000</v>
      </c>
      <c r="M230" s="127">
        <f t="shared" si="27"/>
        <v>0</v>
      </c>
      <c r="N230" s="127">
        <f>M230</f>
        <v>0</v>
      </c>
    </row>
    <row r="231" spans="1:14" ht="60" x14ac:dyDescent="0.25">
      <c r="A231" s="93"/>
      <c r="B231" s="126">
        <v>400055</v>
      </c>
      <c r="C231" s="47" t="s">
        <v>615</v>
      </c>
      <c r="D231" s="263" t="s">
        <v>616</v>
      </c>
      <c r="E231" s="373">
        <v>42</v>
      </c>
      <c r="F231" s="131" t="s">
        <v>495</v>
      </c>
      <c r="G231" s="40" t="s">
        <v>614</v>
      </c>
      <c r="H231" s="88">
        <v>5700</v>
      </c>
      <c r="I231" s="155">
        <f t="shared" si="23"/>
        <v>5700</v>
      </c>
      <c r="J231" s="131">
        <v>0</v>
      </c>
      <c r="K231" s="265">
        <v>5700</v>
      </c>
      <c r="L231" s="336">
        <v>5700</v>
      </c>
      <c r="M231" s="127">
        <f t="shared" si="27"/>
        <v>0</v>
      </c>
      <c r="N231" s="127">
        <f>M231</f>
        <v>0</v>
      </c>
    </row>
    <row r="232" spans="1:14" ht="60" x14ac:dyDescent="0.25">
      <c r="A232" s="93"/>
      <c r="B232" s="126">
        <v>400055</v>
      </c>
      <c r="C232" s="160"/>
      <c r="D232" s="263" t="s">
        <v>619</v>
      </c>
      <c r="E232" s="373">
        <v>42</v>
      </c>
      <c r="F232" s="131" t="s">
        <v>495</v>
      </c>
      <c r="G232" s="40" t="s">
        <v>614</v>
      </c>
      <c r="H232" s="88">
        <v>18897</v>
      </c>
      <c r="I232" s="155">
        <f t="shared" ref="I232:I246" si="28">H232-J232</f>
        <v>18897</v>
      </c>
      <c r="J232" s="131">
        <v>0</v>
      </c>
      <c r="K232" s="265">
        <v>18897</v>
      </c>
      <c r="L232" s="336">
        <v>18897</v>
      </c>
      <c r="M232" s="127">
        <f t="shared" si="27"/>
        <v>0</v>
      </c>
      <c r="N232" s="127">
        <f>M232</f>
        <v>0</v>
      </c>
    </row>
    <row r="233" spans="1:14" ht="38.25" x14ac:dyDescent="0.25">
      <c r="A233" s="93"/>
      <c r="B233" s="88">
        <v>400055</v>
      </c>
      <c r="C233" s="47" t="s">
        <v>612</v>
      </c>
      <c r="D233" s="263" t="s">
        <v>613</v>
      </c>
      <c r="E233" s="373">
        <v>42</v>
      </c>
      <c r="F233" s="131" t="s">
        <v>500</v>
      </c>
      <c r="G233" s="52" t="s">
        <v>614</v>
      </c>
      <c r="H233" s="88">
        <v>295000</v>
      </c>
      <c r="I233" s="155">
        <f t="shared" si="28"/>
        <v>295000</v>
      </c>
      <c r="J233" s="131">
        <v>0</v>
      </c>
      <c r="K233" s="265">
        <v>100000</v>
      </c>
      <c r="L233" s="336">
        <v>100000</v>
      </c>
      <c r="M233" s="127">
        <v>0</v>
      </c>
      <c r="N233" s="127">
        <v>0</v>
      </c>
    </row>
    <row r="234" spans="1:14" ht="75" x14ac:dyDescent="0.25">
      <c r="A234" s="93">
        <v>11</v>
      </c>
      <c r="B234" s="88">
        <v>400073</v>
      </c>
      <c r="C234" s="222" t="s">
        <v>640</v>
      </c>
      <c r="D234" s="47" t="s">
        <v>641</v>
      </c>
      <c r="E234" s="377">
        <v>42</v>
      </c>
      <c r="F234" s="131" t="s">
        <v>500</v>
      </c>
      <c r="G234" s="40" t="s">
        <v>614</v>
      </c>
      <c r="H234" s="88">
        <v>1014000</v>
      </c>
      <c r="I234" s="155">
        <f t="shared" si="28"/>
        <v>1014000</v>
      </c>
      <c r="J234" s="131">
        <v>0</v>
      </c>
      <c r="K234" s="250">
        <v>300000</v>
      </c>
      <c r="L234" s="255">
        <v>300000</v>
      </c>
      <c r="M234" s="127">
        <f t="shared" ref="M234:M242" si="29">H234-(J234+K234)</f>
        <v>714000</v>
      </c>
      <c r="N234" s="127">
        <f>M234</f>
        <v>714000</v>
      </c>
    </row>
    <row r="235" spans="1:14" ht="60" x14ac:dyDescent="0.25">
      <c r="A235" s="93">
        <v>1</v>
      </c>
      <c r="B235" s="88">
        <v>400058</v>
      </c>
      <c r="C235" s="47" t="s">
        <v>620</v>
      </c>
      <c r="D235" s="60" t="s">
        <v>621</v>
      </c>
      <c r="E235" s="376">
        <v>43</v>
      </c>
      <c r="F235" s="131" t="s">
        <v>495</v>
      </c>
      <c r="G235" s="40" t="s">
        <v>614</v>
      </c>
      <c r="H235" s="88">
        <v>81800</v>
      </c>
      <c r="I235" s="155">
        <f t="shared" si="28"/>
        <v>81800</v>
      </c>
      <c r="J235" s="131">
        <v>0</v>
      </c>
      <c r="K235" s="250">
        <v>81800</v>
      </c>
      <c r="L235" s="255">
        <v>81800</v>
      </c>
      <c r="M235" s="127">
        <f t="shared" si="29"/>
        <v>0</v>
      </c>
      <c r="N235" s="127">
        <f>M235</f>
        <v>0</v>
      </c>
    </row>
    <row r="236" spans="1:14" ht="60" x14ac:dyDescent="0.25">
      <c r="A236" s="93">
        <v>20</v>
      </c>
      <c r="B236" s="88">
        <v>400084</v>
      </c>
      <c r="C236" s="131" t="s">
        <v>655</v>
      </c>
      <c r="D236" s="197" t="s">
        <v>656</v>
      </c>
      <c r="E236" s="365">
        <v>43</v>
      </c>
      <c r="F236" s="131" t="s">
        <v>495</v>
      </c>
      <c r="G236" s="40" t="s">
        <v>614</v>
      </c>
      <c r="H236" s="333">
        <v>15000</v>
      </c>
      <c r="I236" s="155">
        <f t="shared" si="28"/>
        <v>15000</v>
      </c>
      <c r="J236" s="131">
        <v>0</v>
      </c>
      <c r="K236" s="250">
        <v>15000</v>
      </c>
      <c r="L236" s="255">
        <v>15000</v>
      </c>
      <c r="M236" s="127">
        <f t="shared" si="29"/>
        <v>0</v>
      </c>
      <c r="N236" s="127">
        <f>M236</f>
        <v>0</v>
      </c>
    </row>
    <row r="237" spans="1:14" ht="60" x14ac:dyDescent="0.25">
      <c r="A237" s="93">
        <v>18</v>
      </c>
      <c r="B237" s="88">
        <v>400080</v>
      </c>
      <c r="C237" s="47" t="s">
        <v>248</v>
      </c>
      <c r="D237" s="197" t="s">
        <v>652</v>
      </c>
      <c r="E237" s="365">
        <v>43</v>
      </c>
      <c r="F237" s="131" t="s">
        <v>500</v>
      </c>
      <c r="G237" s="40" t="s">
        <v>614</v>
      </c>
      <c r="H237" s="88">
        <v>6000000</v>
      </c>
      <c r="I237" s="155">
        <f t="shared" si="28"/>
        <v>6000000</v>
      </c>
      <c r="J237" s="131">
        <v>0</v>
      </c>
      <c r="K237" s="250">
        <f>2000000+2000000</f>
        <v>4000000</v>
      </c>
      <c r="L237" s="255">
        <f>2000000+2000000</f>
        <v>4000000</v>
      </c>
      <c r="M237" s="127">
        <f t="shared" si="29"/>
        <v>2000000</v>
      </c>
      <c r="N237" s="127">
        <f>M237</f>
        <v>2000000</v>
      </c>
    </row>
    <row r="238" spans="1:14" ht="76.5" x14ac:dyDescent="0.25">
      <c r="A238" s="93">
        <v>40</v>
      </c>
      <c r="B238" s="40">
        <v>1617400012</v>
      </c>
      <c r="C238" s="40" t="s">
        <v>667</v>
      </c>
      <c r="D238" s="176" t="s">
        <v>668</v>
      </c>
      <c r="E238" s="167">
        <v>43</v>
      </c>
      <c r="F238" s="131" t="s">
        <v>500</v>
      </c>
      <c r="G238" s="40" t="s">
        <v>614</v>
      </c>
      <c r="H238" s="131">
        <v>100000</v>
      </c>
      <c r="I238" s="155">
        <f t="shared" si="28"/>
        <v>100000</v>
      </c>
      <c r="J238" s="131">
        <v>0</v>
      </c>
      <c r="K238" s="250">
        <v>75000</v>
      </c>
      <c r="L238" s="255">
        <v>75000</v>
      </c>
      <c r="M238" s="127">
        <f t="shared" si="29"/>
        <v>25000</v>
      </c>
      <c r="N238" s="127">
        <f>M238</f>
        <v>25000</v>
      </c>
    </row>
    <row r="239" spans="1:14" ht="63.75" x14ac:dyDescent="0.25">
      <c r="A239" s="93"/>
      <c r="B239" s="79">
        <v>1617400051</v>
      </c>
      <c r="C239" s="127" t="s">
        <v>700</v>
      </c>
      <c r="D239" s="79" t="s">
        <v>701</v>
      </c>
      <c r="E239" s="167">
        <v>44</v>
      </c>
      <c r="F239" s="127" t="s">
        <v>500</v>
      </c>
      <c r="G239" s="307" t="s">
        <v>741</v>
      </c>
      <c r="H239" s="79">
        <v>200000</v>
      </c>
      <c r="I239" s="155">
        <f t="shared" si="28"/>
        <v>200000</v>
      </c>
      <c r="J239" s="127">
        <v>0</v>
      </c>
      <c r="K239" s="250">
        <v>0</v>
      </c>
      <c r="L239" s="255">
        <v>50000</v>
      </c>
      <c r="M239" s="127">
        <f t="shared" si="29"/>
        <v>200000</v>
      </c>
      <c r="N239" s="127">
        <f>M239/2</f>
        <v>100000</v>
      </c>
    </row>
    <row r="240" spans="1:14" ht="60" x14ac:dyDescent="0.25">
      <c r="A240" s="93"/>
      <c r="B240" s="126">
        <v>400055</v>
      </c>
      <c r="C240" s="47"/>
      <c r="D240" s="263" t="s">
        <v>617</v>
      </c>
      <c r="E240" s="373">
        <v>44</v>
      </c>
      <c r="F240" s="131" t="s">
        <v>495</v>
      </c>
      <c r="G240" s="40" t="s">
        <v>614</v>
      </c>
      <c r="H240" s="88">
        <v>16200</v>
      </c>
      <c r="I240" s="155">
        <f t="shared" si="28"/>
        <v>16200</v>
      </c>
      <c r="J240" s="131">
        <v>0</v>
      </c>
      <c r="K240" s="265">
        <v>16200</v>
      </c>
      <c r="L240" s="336">
        <v>16200</v>
      </c>
      <c r="M240" s="127">
        <f t="shared" si="29"/>
        <v>0</v>
      </c>
      <c r="N240" s="127">
        <f>M240</f>
        <v>0</v>
      </c>
    </row>
    <row r="241" spans="1:14" ht="60" x14ac:dyDescent="0.25">
      <c r="A241" s="93"/>
      <c r="B241" s="126">
        <v>400055</v>
      </c>
      <c r="C241" s="47"/>
      <c r="D241" s="263" t="s">
        <v>618</v>
      </c>
      <c r="E241" s="373">
        <v>44</v>
      </c>
      <c r="F241" s="131" t="s">
        <v>495</v>
      </c>
      <c r="G241" s="40" t="s">
        <v>614</v>
      </c>
      <c r="H241" s="88">
        <v>68250</v>
      </c>
      <c r="I241" s="155">
        <f t="shared" si="28"/>
        <v>68250</v>
      </c>
      <c r="J241" s="131">
        <v>0</v>
      </c>
      <c r="K241" s="265">
        <v>68250</v>
      </c>
      <c r="L241" s="336">
        <v>68250</v>
      </c>
      <c r="M241" s="127">
        <f t="shared" si="29"/>
        <v>0</v>
      </c>
      <c r="N241" s="127">
        <f>M241</f>
        <v>0</v>
      </c>
    </row>
    <row r="242" spans="1:14" ht="60" x14ac:dyDescent="0.25">
      <c r="A242" s="93">
        <v>26</v>
      </c>
      <c r="B242" s="40">
        <v>1617400016</v>
      </c>
      <c r="C242" s="40" t="s">
        <v>669</v>
      </c>
      <c r="D242" s="197" t="s">
        <v>670</v>
      </c>
      <c r="E242" s="365">
        <v>44</v>
      </c>
      <c r="F242" s="127" t="s">
        <v>500</v>
      </c>
      <c r="G242" s="40" t="s">
        <v>614</v>
      </c>
      <c r="H242" s="40">
        <v>450000</v>
      </c>
      <c r="I242" s="155">
        <f t="shared" si="28"/>
        <v>450000</v>
      </c>
      <c r="J242" s="127">
        <v>0</v>
      </c>
      <c r="K242" s="250">
        <v>75000</v>
      </c>
      <c r="L242" s="255">
        <v>75000</v>
      </c>
      <c r="M242" s="127">
        <f t="shared" si="29"/>
        <v>375000</v>
      </c>
      <c r="N242" s="127">
        <v>75000</v>
      </c>
    </row>
    <row r="243" spans="1:14" ht="60" x14ac:dyDescent="0.25">
      <c r="A243" s="93">
        <v>44</v>
      </c>
      <c r="B243" s="127" t="s">
        <v>730</v>
      </c>
      <c r="C243" s="127" t="s">
        <v>397</v>
      </c>
      <c r="D243" s="96" t="s">
        <v>731</v>
      </c>
      <c r="E243" s="167">
        <v>45</v>
      </c>
      <c r="F243" s="127" t="s">
        <v>500</v>
      </c>
      <c r="G243" s="40" t="s">
        <v>614</v>
      </c>
      <c r="H243" s="131">
        <f>4185000+270000</f>
        <v>4455000</v>
      </c>
      <c r="I243" s="155">
        <f t="shared" si="28"/>
        <v>4455000</v>
      </c>
      <c r="J243" s="131">
        <v>0</v>
      </c>
      <c r="K243" s="308">
        <v>2445000</v>
      </c>
      <c r="L243" s="255">
        <f>3890000+270000</f>
        <v>4160000</v>
      </c>
      <c r="M243" s="131">
        <v>295000</v>
      </c>
      <c r="N243" s="127">
        <f>M243</f>
        <v>295000</v>
      </c>
    </row>
    <row r="244" spans="1:14" ht="105" x14ac:dyDescent="0.25">
      <c r="A244" s="93">
        <v>4</v>
      </c>
      <c r="B244" s="88">
        <v>400061</v>
      </c>
      <c r="C244" s="279" t="s">
        <v>626</v>
      </c>
      <c r="D244" s="279" t="s">
        <v>627</v>
      </c>
      <c r="E244" s="375">
        <v>46</v>
      </c>
      <c r="F244" s="131" t="s">
        <v>495</v>
      </c>
      <c r="G244" s="40" t="s">
        <v>614</v>
      </c>
      <c r="H244" s="88">
        <v>50000</v>
      </c>
      <c r="I244" s="155">
        <f t="shared" si="28"/>
        <v>50000</v>
      </c>
      <c r="J244" s="131">
        <v>0</v>
      </c>
      <c r="K244" s="250">
        <v>50000</v>
      </c>
      <c r="L244" s="255">
        <f>25000+25000</f>
        <v>50000</v>
      </c>
      <c r="M244" s="127">
        <f>H244-(J244+K244)</f>
        <v>0</v>
      </c>
      <c r="N244" s="127">
        <f>M244</f>
        <v>0</v>
      </c>
    </row>
    <row r="245" spans="1:14" ht="75" x14ac:dyDescent="0.25">
      <c r="A245" s="93">
        <v>6</v>
      </c>
      <c r="B245" s="88">
        <v>400063</v>
      </c>
      <c r="C245" s="279" t="s">
        <v>630</v>
      </c>
      <c r="D245" s="279" t="s">
        <v>631</v>
      </c>
      <c r="E245" s="375">
        <v>46</v>
      </c>
      <c r="F245" s="131" t="s">
        <v>495</v>
      </c>
      <c r="G245" s="40" t="s">
        <v>614</v>
      </c>
      <c r="H245" s="88">
        <v>100000</v>
      </c>
      <c r="I245" s="155">
        <f t="shared" si="28"/>
        <v>100000</v>
      </c>
      <c r="J245" s="131">
        <v>0</v>
      </c>
      <c r="K245" s="250">
        <v>100000</v>
      </c>
      <c r="L245" s="255">
        <v>100000</v>
      </c>
      <c r="M245" s="127">
        <f>H245-(J245+K245)</f>
        <v>0</v>
      </c>
      <c r="N245" s="127">
        <f>M245</f>
        <v>0</v>
      </c>
    </row>
    <row r="246" spans="1:14" ht="60" x14ac:dyDescent="0.25">
      <c r="A246" s="93">
        <v>3</v>
      </c>
      <c r="B246" s="88">
        <v>400060</v>
      </c>
      <c r="C246" s="297" t="s">
        <v>624</v>
      </c>
      <c r="D246" s="279" t="s">
        <v>625</v>
      </c>
      <c r="E246" s="375">
        <v>46</v>
      </c>
      <c r="F246" s="131" t="s">
        <v>500</v>
      </c>
      <c r="G246" s="40" t="s">
        <v>614</v>
      </c>
      <c r="H246" s="88">
        <v>216000</v>
      </c>
      <c r="I246" s="155">
        <f t="shared" si="28"/>
        <v>216000</v>
      </c>
      <c r="J246" s="131">
        <v>0</v>
      </c>
      <c r="K246" s="250">
        <f>72000+72000</f>
        <v>144000</v>
      </c>
      <c r="L246" s="255">
        <f>72000+72000</f>
        <v>144000</v>
      </c>
      <c r="M246" s="127">
        <f>H246-(J246+K246)</f>
        <v>72000</v>
      </c>
      <c r="N246" s="127">
        <f>M246</f>
        <v>72000</v>
      </c>
    </row>
    <row r="247" spans="1:14" ht="51" x14ac:dyDescent="0.25">
      <c r="A247" s="93">
        <v>4</v>
      </c>
      <c r="B247" s="131">
        <v>500063</v>
      </c>
      <c r="C247" s="65" t="s">
        <v>491</v>
      </c>
      <c r="D247" s="72" t="s">
        <v>492</v>
      </c>
      <c r="E247" s="363">
        <v>47</v>
      </c>
      <c r="F247" s="131" t="s">
        <v>17</v>
      </c>
      <c r="G247" s="52" t="s">
        <v>487</v>
      </c>
      <c r="H247" s="246"/>
      <c r="I247" s="40">
        <v>60000</v>
      </c>
      <c r="J247" s="131">
        <v>0</v>
      </c>
      <c r="K247" s="127"/>
      <c r="L247" s="178">
        <v>60000</v>
      </c>
      <c r="M247" s="127">
        <v>0</v>
      </c>
      <c r="N247" s="127"/>
    </row>
    <row r="248" spans="1:14" ht="51" x14ac:dyDescent="0.25">
      <c r="A248" s="93">
        <v>6</v>
      </c>
      <c r="B248" s="93">
        <v>500065</v>
      </c>
      <c r="C248" s="52" t="s">
        <v>496</v>
      </c>
      <c r="D248" s="93" t="s">
        <v>497</v>
      </c>
      <c r="E248" s="93">
        <v>47</v>
      </c>
      <c r="F248" s="131" t="s">
        <v>17</v>
      </c>
      <c r="G248" s="167" t="s">
        <v>487</v>
      </c>
      <c r="H248" s="131">
        <v>100000</v>
      </c>
      <c r="I248" s="40">
        <f t="shared" ref="I248:I283" si="30">H248-J248</f>
        <v>100000</v>
      </c>
      <c r="J248" s="131">
        <v>0</v>
      </c>
      <c r="K248" s="127">
        <f>50000+25000+25000</f>
        <v>100000</v>
      </c>
      <c r="L248" s="178">
        <f>50000+25000+25000</f>
        <v>100000</v>
      </c>
      <c r="M248" s="127">
        <f t="shared" ref="M248:M260" si="31">H248-(J248+L248)</f>
        <v>0</v>
      </c>
      <c r="N248" s="127">
        <f>M248</f>
        <v>0</v>
      </c>
    </row>
    <row r="249" spans="1:14" ht="90" x14ac:dyDescent="0.25">
      <c r="A249" s="93">
        <v>9</v>
      </c>
      <c r="B249" s="40">
        <v>500074</v>
      </c>
      <c r="C249" s="40" t="s">
        <v>503</v>
      </c>
      <c r="D249" s="40" t="s">
        <v>504</v>
      </c>
      <c r="E249" s="342">
        <v>47</v>
      </c>
      <c r="F249" s="131" t="s">
        <v>495</v>
      </c>
      <c r="G249" s="197" t="s">
        <v>487</v>
      </c>
      <c r="H249" s="131">
        <v>40000</v>
      </c>
      <c r="I249" s="40">
        <f t="shared" si="30"/>
        <v>40000</v>
      </c>
      <c r="J249" s="131">
        <v>0</v>
      </c>
      <c r="K249" s="127">
        <v>40000</v>
      </c>
      <c r="L249" s="178">
        <v>40000</v>
      </c>
      <c r="M249" s="127">
        <f t="shared" si="31"/>
        <v>0</v>
      </c>
      <c r="N249" s="127">
        <f>M249</f>
        <v>0</v>
      </c>
    </row>
    <row r="250" spans="1:14" ht="135" x14ac:dyDescent="0.25">
      <c r="A250" s="93">
        <v>11</v>
      </c>
      <c r="B250" s="131">
        <v>500076</v>
      </c>
      <c r="C250" s="52" t="s">
        <v>507</v>
      </c>
      <c r="D250" s="40" t="s">
        <v>508</v>
      </c>
      <c r="E250" s="342">
        <v>47</v>
      </c>
      <c r="F250" s="131" t="s">
        <v>495</v>
      </c>
      <c r="G250" s="197" t="s">
        <v>487</v>
      </c>
      <c r="H250" s="131">
        <v>50000</v>
      </c>
      <c r="I250" s="40">
        <f t="shared" si="30"/>
        <v>50000</v>
      </c>
      <c r="J250" s="131">
        <v>0</v>
      </c>
      <c r="K250" s="127">
        <v>50000</v>
      </c>
      <c r="L250" s="178">
        <v>50000</v>
      </c>
      <c r="M250" s="127">
        <f t="shared" si="31"/>
        <v>0</v>
      </c>
      <c r="N250" s="127">
        <f>M250</f>
        <v>0</v>
      </c>
    </row>
    <row r="251" spans="1:14" ht="90" x14ac:dyDescent="0.25">
      <c r="A251" s="93">
        <v>12</v>
      </c>
      <c r="B251" s="131">
        <v>500079</v>
      </c>
      <c r="C251" s="131" t="s">
        <v>511</v>
      </c>
      <c r="D251" s="222" t="s">
        <v>512</v>
      </c>
      <c r="E251" s="377">
        <v>47</v>
      </c>
      <c r="F251" s="131" t="s">
        <v>495</v>
      </c>
      <c r="G251" s="222" t="s">
        <v>487</v>
      </c>
      <c r="H251" s="131">
        <v>50000</v>
      </c>
      <c r="I251" s="40">
        <f t="shared" si="30"/>
        <v>50000</v>
      </c>
      <c r="J251" s="131">
        <v>0</v>
      </c>
      <c r="K251" s="127">
        <v>50000</v>
      </c>
      <c r="L251" s="178">
        <v>50000</v>
      </c>
      <c r="M251" s="127">
        <f t="shared" si="31"/>
        <v>0</v>
      </c>
      <c r="N251" s="127">
        <f>M251</f>
        <v>0</v>
      </c>
    </row>
    <row r="252" spans="1:14" ht="90" x14ac:dyDescent="0.25">
      <c r="A252" s="93">
        <v>17</v>
      </c>
      <c r="B252" s="197">
        <v>1617500008</v>
      </c>
      <c r="C252" s="197" t="s">
        <v>523</v>
      </c>
      <c r="D252" s="197" t="s">
        <v>524</v>
      </c>
      <c r="E252" s="365">
        <v>47</v>
      </c>
      <c r="F252" s="131" t="s">
        <v>500</v>
      </c>
      <c r="G252" s="197" t="s">
        <v>487</v>
      </c>
      <c r="H252" s="197">
        <v>405000</v>
      </c>
      <c r="I252" s="40">
        <f t="shared" si="30"/>
        <v>405000</v>
      </c>
      <c r="J252" s="131">
        <v>0</v>
      </c>
      <c r="K252" s="127">
        <v>135000</v>
      </c>
      <c r="L252" s="178">
        <v>135000</v>
      </c>
      <c r="M252" s="127">
        <f t="shared" si="31"/>
        <v>270000</v>
      </c>
      <c r="N252" s="127">
        <f>M252/2</f>
        <v>135000</v>
      </c>
    </row>
    <row r="253" spans="1:14" ht="90" x14ac:dyDescent="0.25">
      <c r="A253" s="93">
        <v>27</v>
      </c>
      <c r="B253" s="131">
        <v>1617500029</v>
      </c>
      <c r="C253" s="40" t="s">
        <v>556</v>
      </c>
      <c r="D253" s="40" t="s">
        <v>557</v>
      </c>
      <c r="E253" s="342">
        <v>47</v>
      </c>
      <c r="F253" s="131" t="s">
        <v>495</v>
      </c>
      <c r="G253" s="197" t="s">
        <v>487</v>
      </c>
      <c r="H253" s="131">
        <v>20000</v>
      </c>
      <c r="I253" s="40">
        <f t="shared" si="30"/>
        <v>20000</v>
      </c>
      <c r="J253" s="131">
        <v>0</v>
      </c>
      <c r="K253" s="127">
        <v>20000</v>
      </c>
      <c r="L253" s="178">
        <f>20000</f>
        <v>20000</v>
      </c>
      <c r="M253" s="127">
        <f t="shared" si="31"/>
        <v>0</v>
      </c>
      <c r="N253" s="127">
        <f>M253</f>
        <v>0</v>
      </c>
    </row>
    <row r="254" spans="1:14" ht="90" x14ac:dyDescent="0.25">
      <c r="A254" s="93">
        <v>32</v>
      </c>
      <c r="B254" s="40" t="s">
        <v>590</v>
      </c>
      <c r="C254" s="131" t="s">
        <v>591</v>
      </c>
      <c r="D254" s="40" t="s">
        <v>592</v>
      </c>
      <c r="E254" s="342">
        <v>47</v>
      </c>
      <c r="F254" s="131" t="s">
        <v>495</v>
      </c>
      <c r="G254" s="197" t="s">
        <v>487</v>
      </c>
      <c r="H254" s="131">
        <v>25000</v>
      </c>
      <c r="I254" s="40">
        <f t="shared" si="30"/>
        <v>25000</v>
      </c>
      <c r="J254" s="131">
        <v>0</v>
      </c>
      <c r="K254" s="127">
        <v>25000</v>
      </c>
      <c r="L254" s="178">
        <v>25000</v>
      </c>
      <c r="M254" s="127">
        <f t="shared" si="31"/>
        <v>0</v>
      </c>
      <c r="N254" s="127">
        <f>M254</f>
        <v>0</v>
      </c>
    </row>
    <row r="255" spans="1:14" ht="51" x14ac:dyDescent="0.25">
      <c r="A255" s="93">
        <v>1</v>
      </c>
      <c r="B255" s="40">
        <v>500045</v>
      </c>
      <c r="C255" s="40" t="s">
        <v>485</v>
      </c>
      <c r="D255" s="52" t="s">
        <v>486</v>
      </c>
      <c r="E255" s="93">
        <v>48</v>
      </c>
      <c r="F255" s="131" t="s">
        <v>17</v>
      </c>
      <c r="G255" s="79" t="s">
        <v>487</v>
      </c>
      <c r="H255" s="40">
        <v>500000</v>
      </c>
      <c r="I255" s="40">
        <f t="shared" si="30"/>
        <v>250000</v>
      </c>
      <c r="J255" s="131">
        <v>250000</v>
      </c>
      <c r="K255" s="127">
        <f>200000+50000</f>
        <v>250000</v>
      </c>
      <c r="L255" s="178">
        <f>200000+50000</f>
        <v>250000</v>
      </c>
      <c r="M255" s="127">
        <f t="shared" si="31"/>
        <v>0</v>
      </c>
      <c r="N255" s="127">
        <f>M255</f>
        <v>0</v>
      </c>
    </row>
    <row r="256" spans="1:14" ht="51" x14ac:dyDescent="0.25">
      <c r="A256" s="93">
        <v>2</v>
      </c>
      <c r="B256" s="40">
        <v>500056</v>
      </c>
      <c r="C256" s="40" t="s">
        <v>488</v>
      </c>
      <c r="D256" s="40" t="s">
        <v>489</v>
      </c>
      <c r="E256" s="342">
        <v>48</v>
      </c>
      <c r="F256" s="131" t="s">
        <v>17</v>
      </c>
      <c r="G256" s="52" t="s">
        <v>487</v>
      </c>
      <c r="H256" s="131">
        <v>200000</v>
      </c>
      <c r="I256" s="40">
        <f t="shared" si="30"/>
        <v>125000</v>
      </c>
      <c r="J256" s="131">
        <v>75000</v>
      </c>
      <c r="K256" s="127">
        <f>100000+25000</f>
        <v>125000</v>
      </c>
      <c r="L256" s="178">
        <f>100000+25000</f>
        <v>125000</v>
      </c>
      <c r="M256" s="127">
        <f t="shared" si="31"/>
        <v>0</v>
      </c>
      <c r="N256" s="127">
        <f>M256</f>
        <v>0</v>
      </c>
    </row>
    <row r="257" spans="1:14" ht="51" x14ac:dyDescent="0.25">
      <c r="A257" s="93">
        <v>3</v>
      </c>
      <c r="B257" s="40">
        <v>500056</v>
      </c>
      <c r="C257" s="40" t="s">
        <v>488</v>
      </c>
      <c r="D257" s="52" t="s">
        <v>490</v>
      </c>
      <c r="E257" s="93">
        <v>48</v>
      </c>
      <c r="F257" s="131" t="s">
        <v>17</v>
      </c>
      <c r="G257" s="52" t="s">
        <v>487</v>
      </c>
      <c r="H257" s="131">
        <v>100000</v>
      </c>
      <c r="I257" s="40">
        <f t="shared" si="30"/>
        <v>100000</v>
      </c>
      <c r="J257" s="131">
        <v>0</v>
      </c>
      <c r="K257" s="127">
        <f>35000+65000</f>
        <v>100000</v>
      </c>
      <c r="L257" s="178">
        <f>35000+65000</f>
        <v>100000</v>
      </c>
      <c r="M257" s="127">
        <f t="shared" si="31"/>
        <v>0</v>
      </c>
      <c r="N257" s="127">
        <v>0</v>
      </c>
    </row>
    <row r="258" spans="1:14" ht="90" x14ac:dyDescent="0.25">
      <c r="A258" s="93">
        <v>10</v>
      </c>
      <c r="B258" s="40">
        <v>500075</v>
      </c>
      <c r="C258" s="40" t="s">
        <v>505</v>
      </c>
      <c r="D258" s="40" t="s">
        <v>506</v>
      </c>
      <c r="E258" s="342">
        <v>48</v>
      </c>
      <c r="F258" s="131" t="s">
        <v>17</v>
      </c>
      <c r="G258" s="197" t="s">
        <v>487</v>
      </c>
      <c r="H258" s="131">
        <v>500000</v>
      </c>
      <c r="I258" s="40">
        <f t="shared" si="30"/>
        <v>500000</v>
      </c>
      <c r="J258" s="131">
        <v>0</v>
      </c>
      <c r="K258" s="127">
        <f>170000+170000+160000</f>
        <v>500000</v>
      </c>
      <c r="L258" s="178">
        <f>170000+170000+160000</f>
        <v>500000</v>
      </c>
      <c r="M258" s="127">
        <f t="shared" si="31"/>
        <v>0</v>
      </c>
      <c r="N258" s="127">
        <f t="shared" ref="N258:N270" si="32">M258</f>
        <v>0</v>
      </c>
    </row>
    <row r="259" spans="1:14" ht="90" x14ac:dyDescent="0.25">
      <c r="A259" s="93">
        <v>16</v>
      </c>
      <c r="B259" s="40">
        <v>1617500007</v>
      </c>
      <c r="C259" s="286" t="s">
        <v>521</v>
      </c>
      <c r="D259" s="40" t="s">
        <v>522</v>
      </c>
      <c r="E259" s="342">
        <v>49</v>
      </c>
      <c r="F259" s="131" t="s">
        <v>495</v>
      </c>
      <c r="G259" s="197" t="s">
        <v>487</v>
      </c>
      <c r="H259" s="40">
        <v>900000</v>
      </c>
      <c r="I259" s="40">
        <f t="shared" si="30"/>
        <v>900000</v>
      </c>
      <c r="J259" s="131">
        <v>0</v>
      </c>
      <c r="K259" s="127">
        <v>900000</v>
      </c>
      <c r="L259" s="178">
        <v>900000</v>
      </c>
      <c r="M259" s="127">
        <f t="shared" si="31"/>
        <v>0</v>
      </c>
      <c r="N259" s="127">
        <f t="shared" si="32"/>
        <v>0</v>
      </c>
    </row>
    <row r="260" spans="1:14" ht="105" x14ac:dyDescent="0.25">
      <c r="A260" s="93">
        <v>20</v>
      </c>
      <c r="B260" s="197">
        <v>1617500016</v>
      </c>
      <c r="C260" s="197" t="s">
        <v>537</v>
      </c>
      <c r="D260" s="287" t="s">
        <v>538</v>
      </c>
      <c r="E260" s="389">
        <v>49</v>
      </c>
      <c r="F260" s="131" t="s">
        <v>536</v>
      </c>
      <c r="G260" s="288" t="s">
        <v>487</v>
      </c>
      <c r="H260" s="40">
        <v>400000</v>
      </c>
      <c r="I260" s="40">
        <f t="shared" si="30"/>
        <v>400000</v>
      </c>
      <c r="J260" s="131">
        <v>0</v>
      </c>
      <c r="K260" s="127">
        <v>0</v>
      </c>
      <c r="L260" s="178">
        <v>200000</v>
      </c>
      <c r="M260" s="127">
        <f t="shared" si="31"/>
        <v>200000</v>
      </c>
      <c r="N260" s="127">
        <f t="shared" si="32"/>
        <v>200000</v>
      </c>
    </row>
    <row r="261" spans="1:14" ht="45" x14ac:dyDescent="0.25">
      <c r="A261" s="93">
        <v>20</v>
      </c>
      <c r="B261" s="197">
        <v>1617300002</v>
      </c>
      <c r="C261" s="197" t="s">
        <v>436</v>
      </c>
      <c r="D261" s="197" t="s">
        <v>437</v>
      </c>
      <c r="E261" s="187">
        <v>50</v>
      </c>
      <c r="F261" s="131" t="s">
        <v>17</v>
      </c>
      <c r="G261" s="52" t="s">
        <v>438</v>
      </c>
      <c r="H261" s="197">
        <v>386250</v>
      </c>
      <c r="I261" s="131">
        <f t="shared" si="30"/>
        <v>386250</v>
      </c>
      <c r="J261" s="131">
        <v>0</v>
      </c>
      <c r="K261" s="250">
        <f>130000+150000</f>
        <v>280000</v>
      </c>
      <c r="L261" s="178">
        <f>130000+150000+100000</f>
        <v>380000</v>
      </c>
      <c r="M261" s="127">
        <f>H261-(J261+K261)</f>
        <v>106250</v>
      </c>
      <c r="N261" s="127">
        <f t="shared" si="32"/>
        <v>106250</v>
      </c>
    </row>
    <row r="262" spans="1:14" ht="60" x14ac:dyDescent="0.25">
      <c r="A262" s="93">
        <v>7</v>
      </c>
      <c r="B262" s="40">
        <v>500066</v>
      </c>
      <c r="C262" s="52" t="s">
        <v>498</v>
      </c>
      <c r="D262" s="40" t="s">
        <v>499</v>
      </c>
      <c r="E262" s="342">
        <v>50</v>
      </c>
      <c r="F262" s="131" t="s">
        <v>500</v>
      </c>
      <c r="G262" s="197" t="s">
        <v>438</v>
      </c>
      <c r="H262" s="131">
        <v>250000</v>
      </c>
      <c r="I262" s="40">
        <f t="shared" si="30"/>
        <v>250000</v>
      </c>
      <c r="J262" s="131">
        <v>0</v>
      </c>
      <c r="K262" s="127">
        <v>125000</v>
      </c>
      <c r="L262" s="178">
        <v>125000</v>
      </c>
      <c r="M262" s="127">
        <f t="shared" ref="M262:M283" si="33">H262-(J262+L262)</f>
        <v>125000</v>
      </c>
      <c r="N262" s="127">
        <f t="shared" si="32"/>
        <v>125000</v>
      </c>
    </row>
    <row r="263" spans="1:14" ht="45" x14ac:dyDescent="0.25">
      <c r="A263" s="93">
        <v>22</v>
      </c>
      <c r="B263" s="40">
        <v>1617500020</v>
      </c>
      <c r="C263" s="40" t="s">
        <v>543</v>
      </c>
      <c r="D263" s="40" t="s">
        <v>544</v>
      </c>
      <c r="E263" s="342">
        <v>50</v>
      </c>
      <c r="F263" s="131" t="s">
        <v>500</v>
      </c>
      <c r="G263" s="197" t="s">
        <v>438</v>
      </c>
      <c r="H263" s="40">
        <v>400000</v>
      </c>
      <c r="I263" s="40">
        <f t="shared" si="30"/>
        <v>400000</v>
      </c>
      <c r="J263" s="131">
        <v>0</v>
      </c>
      <c r="K263" s="127">
        <v>300000</v>
      </c>
      <c r="L263" s="178">
        <v>300000</v>
      </c>
      <c r="M263" s="127">
        <f t="shared" si="33"/>
        <v>100000</v>
      </c>
      <c r="N263" s="127">
        <f t="shared" si="32"/>
        <v>100000</v>
      </c>
    </row>
    <row r="264" spans="1:14" ht="60" x14ac:dyDescent="0.25">
      <c r="A264" s="93">
        <v>23</v>
      </c>
      <c r="B264" s="197">
        <v>1617500021</v>
      </c>
      <c r="C264" s="197" t="s">
        <v>543</v>
      </c>
      <c r="D264" s="197" t="s">
        <v>545</v>
      </c>
      <c r="E264" s="365">
        <v>50</v>
      </c>
      <c r="F264" s="285" t="s">
        <v>500</v>
      </c>
      <c r="G264" s="197" t="s">
        <v>438</v>
      </c>
      <c r="H264" s="197">
        <v>100000</v>
      </c>
      <c r="I264" s="40">
        <f t="shared" si="30"/>
        <v>100000</v>
      </c>
      <c r="J264" s="289">
        <v>0</v>
      </c>
      <c r="K264" s="158">
        <f>50000+50000</f>
        <v>100000</v>
      </c>
      <c r="L264" s="290">
        <f>50000+50000</f>
        <v>100000</v>
      </c>
      <c r="M264" s="127">
        <f t="shared" si="33"/>
        <v>0</v>
      </c>
      <c r="N264" s="127">
        <f t="shared" si="32"/>
        <v>0</v>
      </c>
    </row>
    <row r="265" spans="1:14" ht="45" x14ac:dyDescent="0.25">
      <c r="A265" s="93">
        <v>31</v>
      </c>
      <c r="B265" s="222" t="s">
        <v>588</v>
      </c>
      <c r="C265" s="222" t="s">
        <v>471</v>
      </c>
      <c r="D265" s="222" t="s">
        <v>589</v>
      </c>
      <c r="E265" s="377">
        <v>50</v>
      </c>
      <c r="F265" s="131" t="s">
        <v>495</v>
      </c>
      <c r="G265" s="222" t="s">
        <v>438</v>
      </c>
      <c r="H265" s="131">
        <v>15000</v>
      </c>
      <c r="I265" s="40">
        <f t="shared" si="30"/>
        <v>15000</v>
      </c>
      <c r="J265" s="131">
        <v>0</v>
      </c>
      <c r="K265" s="127">
        <v>15000</v>
      </c>
      <c r="L265" s="178">
        <v>15000</v>
      </c>
      <c r="M265" s="127">
        <f t="shared" si="33"/>
        <v>0</v>
      </c>
      <c r="N265" s="127">
        <f t="shared" si="32"/>
        <v>0</v>
      </c>
    </row>
    <row r="266" spans="1:14" ht="60" x14ac:dyDescent="0.25">
      <c r="A266" s="93">
        <v>8</v>
      </c>
      <c r="B266" s="131">
        <v>500068</v>
      </c>
      <c r="C266" s="279" t="s">
        <v>501</v>
      </c>
      <c r="D266" s="279" t="s">
        <v>502</v>
      </c>
      <c r="E266" s="375">
        <v>51</v>
      </c>
      <c r="F266" s="131" t="s">
        <v>500</v>
      </c>
      <c r="G266" s="280" t="s">
        <v>438</v>
      </c>
      <c r="H266" s="131">
        <v>492000</v>
      </c>
      <c r="I266" s="40">
        <f t="shared" si="30"/>
        <v>492000</v>
      </c>
      <c r="J266" s="131">
        <v>0</v>
      </c>
      <c r="K266" s="127">
        <f>125000+120000</f>
        <v>245000</v>
      </c>
      <c r="L266" s="178">
        <f>125000+120000</f>
        <v>245000</v>
      </c>
      <c r="M266" s="127">
        <f t="shared" si="33"/>
        <v>247000</v>
      </c>
      <c r="N266" s="127">
        <f t="shared" si="32"/>
        <v>247000</v>
      </c>
    </row>
    <row r="267" spans="1:14" ht="45" x14ac:dyDescent="0.25">
      <c r="A267" s="93">
        <v>13</v>
      </c>
      <c r="B267" s="131">
        <v>500081</v>
      </c>
      <c r="C267" s="195" t="s">
        <v>513</v>
      </c>
      <c r="D267" s="222" t="s">
        <v>514</v>
      </c>
      <c r="E267" s="377">
        <v>51</v>
      </c>
      <c r="F267" s="285" t="s">
        <v>17</v>
      </c>
      <c r="G267" s="222" t="s">
        <v>438</v>
      </c>
      <c r="H267" s="282">
        <v>450000</v>
      </c>
      <c r="I267" s="40">
        <f t="shared" si="30"/>
        <v>450000</v>
      </c>
      <c r="J267" s="282">
        <v>0</v>
      </c>
      <c r="K267" s="283">
        <f>250000+200000</f>
        <v>450000</v>
      </c>
      <c r="L267" s="284">
        <f>250000+200000</f>
        <v>450000</v>
      </c>
      <c r="M267" s="127">
        <f t="shared" si="33"/>
        <v>0</v>
      </c>
      <c r="N267" s="127">
        <f t="shared" si="32"/>
        <v>0</v>
      </c>
    </row>
    <row r="268" spans="1:14" ht="45" x14ac:dyDescent="0.25">
      <c r="A268" s="93">
        <v>14</v>
      </c>
      <c r="B268" s="40">
        <v>1617500004</v>
      </c>
      <c r="C268" s="40" t="s">
        <v>517</v>
      </c>
      <c r="D268" s="40" t="s">
        <v>518</v>
      </c>
      <c r="E268" s="342">
        <v>51</v>
      </c>
      <c r="F268" s="131" t="s">
        <v>500</v>
      </c>
      <c r="G268" s="197" t="s">
        <v>438</v>
      </c>
      <c r="H268" s="40">
        <v>475000</v>
      </c>
      <c r="I268" s="40">
        <f t="shared" si="30"/>
        <v>475000</v>
      </c>
      <c r="J268" s="131">
        <v>0</v>
      </c>
      <c r="K268" s="127">
        <f>150000+200000</f>
        <v>350000</v>
      </c>
      <c r="L268" s="178">
        <f>150000+200000</f>
        <v>350000</v>
      </c>
      <c r="M268" s="127">
        <f t="shared" si="33"/>
        <v>125000</v>
      </c>
      <c r="N268" s="127">
        <f t="shared" si="32"/>
        <v>125000</v>
      </c>
    </row>
    <row r="269" spans="1:14" ht="120" x14ac:dyDescent="0.25">
      <c r="A269" s="93">
        <v>24</v>
      </c>
      <c r="B269" s="131">
        <v>1617500022</v>
      </c>
      <c r="C269" s="40" t="s">
        <v>546</v>
      </c>
      <c r="D269" s="40" t="s">
        <v>547</v>
      </c>
      <c r="E269" s="342">
        <v>51</v>
      </c>
      <c r="F269" s="131" t="s">
        <v>495</v>
      </c>
      <c r="G269" s="197" t="s">
        <v>438</v>
      </c>
      <c r="H269" s="40">
        <v>125000</v>
      </c>
      <c r="I269" s="40">
        <f t="shared" si="30"/>
        <v>125000</v>
      </c>
      <c r="J269" s="131">
        <v>0</v>
      </c>
      <c r="K269" s="127">
        <v>125000</v>
      </c>
      <c r="L269" s="178">
        <v>125000</v>
      </c>
      <c r="M269" s="127">
        <f t="shared" si="33"/>
        <v>0</v>
      </c>
      <c r="N269" s="127">
        <f t="shared" si="32"/>
        <v>0</v>
      </c>
    </row>
    <row r="270" spans="1:14" ht="45" x14ac:dyDescent="0.25">
      <c r="A270" s="93">
        <v>25</v>
      </c>
      <c r="B270" s="197">
        <v>1617500025</v>
      </c>
      <c r="C270" s="197" t="s">
        <v>550</v>
      </c>
      <c r="D270" s="197" t="s">
        <v>551</v>
      </c>
      <c r="E270" s="365">
        <v>51</v>
      </c>
      <c r="F270" s="131" t="s">
        <v>495</v>
      </c>
      <c r="G270" s="197" t="s">
        <v>438</v>
      </c>
      <c r="H270" s="197">
        <v>75000</v>
      </c>
      <c r="I270" s="40">
        <f t="shared" si="30"/>
        <v>75000</v>
      </c>
      <c r="J270" s="131">
        <v>0</v>
      </c>
      <c r="K270" s="127">
        <v>75000</v>
      </c>
      <c r="L270" s="178">
        <v>75000</v>
      </c>
      <c r="M270" s="127">
        <f t="shared" si="33"/>
        <v>0</v>
      </c>
      <c r="N270" s="127">
        <f t="shared" si="32"/>
        <v>0</v>
      </c>
    </row>
    <row r="271" spans="1:14" ht="51" x14ac:dyDescent="0.25">
      <c r="A271" s="93">
        <v>28</v>
      </c>
      <c r="B271" s="52">
        <v>1617500032</v>
      </c>
      <c r="C271" s="131" t="s">
        <v>563</v>
      </c>
      <c r="D271" s="52" t="s">
        <v>564</v>
      </c>
      <c r="E271" s="93">
        <v>51</v>
      </c>
      <c r="F271" s="127" t="s">
        <v>500</v>
      </c>
      <c r="G271" s="40" t="s">
        <v>438</v>
      </c>
      <c r="H271" s="52">
        <v>408000</v>
      </c>
      <c r="I271" s="40">
        <f t="shared" si="30"/>
        <v>408000</v>
      </c>
      <c r="J271" s="127">
        <v>0</v>
      </c>
      <c r="K271" s="127">
        <v>100000</v>
      </c>
      <c r="L271" s="178">
        <v>100000</v>
      </c>
      <c r="M271" s="127">
        <f t="shared" si="33"/>
        <v>308000</v>
      </c>
      <c r="N271" s="127">
        <v>0</v>
      </c>
    </row>
    <row r="272" spans="1:14" ht="45" x14ac:dyDescent="0.25">
      <c r="A272" s="93">
        <v>5</v>
      </c>
      <c r="B272" s="131">
        <v>500064</v>
      </c>
      <c r="C272" s="195" t="s">
        <v>493</v>
      </c>
      <c r="D272" s="222" t="s">
        <v>494</v>
      </c>
      <c r="E272" s="377">
        <v>52</v>
      </c>
      <c r="F272" s="131" t="s">
        <v>495</v>
      </c>
      <c r="G272" s="222" t="s">
        <v>438</v>
      </c>
      <c r="H272" s="131">
        <v>55000</v>
      </c>
      <c r="I272" s="40">
        <f t="shared" si="30"/>
        <v>55000</v>
      </c>
      <c r="J272" s="131">
        <v>0</v>
      </c>
      <c r="K272" s="127">
        <v>55000</v>
      </c>
      <c r="L272" s="178">
        <v>55000</v>
      </c>
      <c r="M272" s="127">
        <f t="shared" si="33"/>
        <v>0</v>
      </c>
      <c r="N272" s="127">
        <f t="shared" ref="N272:N277" si="34">M272</f>
        <v>0</v>
      </c>
    </row>
    <row r="273" spans="1:17" ht="150" x14ac:dyDescent="0.25">
      <c r="A273" s="93">
        <v>21</v>
      </c>
      <c r="B273" s="40">
        <v>1617500018</v>
      </c>
      <c r="C273" s="40" t="s">
        <v>539</v>
      </c>
      <c r="D273" s="40" t="s">
        <v>540</v>
      </c>
      <c r="E273" s="342">
        <v>52</v>
      </c>
      <c r="F273" s="131" t="s">
        <v>17</v>
      </c>
      <c r="G273" s="197" t="s">
        <v>438</v>
      </c>
      <c r="H273" s="40">
        <v>480000</v>
      </c>
      <c r="I273" s="40">
        <f t="shared" si="30"/>
        <v>480000</v>
      </c>
      <c r="J273" s="131">
        <v>0</v>
      </c>
      <c r="K273" s="127">
        <f>250000+230000</f>
        <v>480000</v>
      </c>
      <c r="L273" s="178">
        <f>250000+230000</f>
        <v>480000</v>
      </c>
      <c r="M273" s="127">
        <f t="shared" si="33"/>
        <v>0</v>
      </c>
      <c r="N273" s="127">
        <f t="shared" si="34"/>
        <v>0</v>
      </c>
    </row>
    <row r="274" spans="1:17" ht="75" x14ac:dyDescent="0.25">
      <c r="A274" s="93">
        <v>26</v>
      </c>
      <c r="B274" s="40">
        <v>1617500026</v>
      </c>
      <c r="C274" s="40" t="s">
        <v>552</v>
      </c>
      <c r="D274" s="40" t="s">
        <v>553</v>
      </c>
      <c r="E274" s="342">
        <v>52</v>
      </c>
      <c r="F274" s="40" t="s">
        <v>500</v>
      </c>
      <c r="G274" s="197" t="s">
        <v>438</v>
      </c>
      <c r="H274" s="40">
        <v>490000</v>
      </c>
      <c r="I274" s="40">
        <f t="shared" si="30"/>
        <v>490000</v>
      </c>
      <c r="J274" s="40">
        <v>0</v>
      </c>
      <c r="K274" s="40">
        <f>240000+200000+12000</f>
        <v>452000</v>
      </c>
      <c r="L274" s="281">
        <f>240000+200000+12000</f>
        <v>452000</v>
      </c>
      <c r="M274" s="127">
        <f t="shared" si="33"/>
        <v>38000</v>
      </c>
      <c r="N274" s="127">
        <f t="shared" si="34"/>
        <v>38000</v>
      </c>
    </row>
    <row r="275" spans="1:17" ht="45" x14ac:dyDescent="0.25">
      <c r="A275" s="93">
        <v>33</v>
      </c>
      <c r="B275" s="40">
        <v>500079</v>
      </c>
      <c r="C275" s="40" t="s">
        <v>509</v>
      </c>
      <c r="D275" s="40" t="s">
        <v>510</v>
      </c>
      <c r="E275" s="342">
        <v>52</v>
      </c>
      <c r="F275" s="40" t="s">
        <v>17</v>
      </c>
      <c r="G275" s="197" t="s">
        <v>438</v>
      </c>
      <c r="H275" s="40">
        <v>596000</v>
      </c>
      <c r="I275" s="40">
        <f t="shared" si="30"/>
        <v>596000</v>
      </c>
      <c r="J275" s="40">
        <v>0</v>
      </c>
      <c r="K275" s="40">
        <f>298400+297600</f>
        <v>596000</v>
      </c>
      <c r="L275" s="281">
        <f>298400+297600</f>
        <v>596000</v>
      </c>
      <c r="M275" s="127">
        <f t="shared" si="33"/>
        <v>0</v>
      </c>
      <c r="N275" s="127">
        <f t="shared" si="34"/>
        <v>0</v>
      </c>
    </row>
    <row r="276" spans="1:17" ht="38.25" x14ac:dyDescent="0.25">
      <c r="A276" s="93">
        <v>34</v>
      </c>
      <c r="B276" s="72" t="s">
        <v>593</v>
      </c>
      <c r="C276" s="167" t="s">
        <v>594</v>
      </c>
      <c r="D276" s="79" t="s">
        <v>595</v>
      </c>
      <c r="E276" s="167">
        <v>52</v>
      </c>
      <c r="F276" s="127" t="s">
        <v>17</v>
      </c>
      <c r="G276" s="79" t="s">
        <v>438</v>
      </c>
      <c r="H276" s="292">
        <v>1824690</v>
      </c>
      <c r="I276" s="40">
        <f t="shared" si="30"/>
        <v>449980</v>
      </c>
      <c r="J276" s="292">
        <f>515150+257850+22470+579240</f>
        <v>1374710</v>
      </c>
      <c r="K276" s="127">
        <v>449980</v>
      </c>
      <c r="L276" s="178">
        <v>449980</v>
      </c>
      <c r="M276" s="127">
        <f t="shared" si="33"/>
        <v>0</v>
      </c>
      <c r="N276" s="127">
        <f t="shared" si="34"/>
        <v>0</v>
      </c>
    </row>
    <row r="277" spans="1:17" ht="45" x14ac:dyDescent="0.25">
      <c r="A277" s="93">
        <v>35</v>
      </c>
      <c r="B277" s="40">
        <v>1617500011</v>
      </c>
      <c r="C277" s="40" t="s">
        <v>509</v>
      </c>
      <c r="D277" s="40" t="s">
        <v>529</v>
      </c>
      <c r="E277" s="342">
        <v>52</v>
      </c>
      <c r="F277" s="40" t="s">
        <v>495</v>
      </c>
      <c r="G277" s="197" t="s">
        <v>438</v>
      </c>
      <c r="H277" s="40">
        <v>130000</v>
      </c>
      <c r="I277" s="40">
        <f t="shared" si="30"/>
        <v>130000</v>
      </c>
      <c r="J277" s="40">
        <v>0</v>
      </c>
      <c r="K277" s="40">
        <v>130000</v>
      </c>
      <c r="L277" s="281">
        <v>130000</v>
      </c>
      <c r="M277" s="127">
        <f t="shared" si="33"/>
        <v>0</v>
      </c>
      <c r="N277" s="127">
        <f t="shared" si="34"/>
        <v>0</v>
      </c>
    </row>
    <row r="278" spans="1:17" ht="45" x14ac:dyDescent="0.25">
      <c r="A278" s="93">
        <v>36</v>
      </c>
      <c r="B278" s="131" t="s">
        <v>597</v>
      </c>
      <c r="C278" s="197"/>
      <c r="D278" s="197" t="s">
        <v>598</v>
      </c>
      <c r="E278" s="365">
        <v>52</v>
      </c>
      <c r="F278" s="127"/>
      <c r="G278" s="197" t="s">
        <v>438</v>
      </c>
      <c r="H278" s="127">
        <v>122977</v>
      </c>
      <c r="I278" s="40">
        <f t="shared" si="30"/>
        <v>122977</v>
      </c>
      <c r="J278" s="127"/>
      <c r="K278" s="127"/>
      <c r="L278" s="178">
        <f>2930+4780+11215+94052+10000</f>
        <v>122977</v>
      </c>
      <c r="M278" s="127">
        <f t="shared" si="33"/>
        <v>0</v>
      </c>
      <c r="N278" s="158"/>
    </row>
    <row r="279" spans="1:17" ht="45" x14ac:dyDescent="0.25">
      <c r="A279" s="93">
        <v>15</v>
      </c>
      <c r="B279" s="40">
        <v>1617500006</v>
      </c>
      <c r="C279" s="40" t="s">
        <v>519</v>
      </c>
      <c r="D279" s="40" t="s">
        <v>520</v>
      </c>
      <c r="E279" s="342">
        <v>53</v>
      </c>
      <c r="F279" s="131" t="s">
        <v>495</v>
      </c>
      <c r="G279" s="197" t="s">
        <v>438</v>
      </c>
      <c r="H279" s="40">
        <v>8000</v>
      </c>
      <c r="I279" s="40">
        <f t="shared" si="30"/>
        <v>8000</v>
      </c>
      <c r="J279" s="131">
        <v>0</v>
      </c>
      <c r="K279" s="127">
        <v>8000</v>
      </c>
      <c r="L279" s="178">
        <v>8000</v>
      </c>
      <c r="M279" s="127">
        <f t="shared" si="33"/>
        <v>0</v>
      </c>
      <c r="N279" s="127">
        <f>M279</f>
        <v>0</v>
      </c>
    </row>
    <row r="280" spans="1:17" ht="60" x14ac:dyDescent="0.25">
      <c r="A280" s="93">
        <v>18</v>
      </c>
      <c r="B280" s="40">
        <v>1617500010</v>
      </c>
      <c r="C280" s="40" t="s">
        <v>527</v>
      </c>
      <c r="D280" s="40" t="s">
        <v>528</v>
      </c>
      <c r="E280" s="342">
        <v>53</v>
      </c>
      <c r="F280" s="131" t="s">
        <v>495</v>
      </c>
      <c r="G280" s="197" t="s">
        <v>438</v>
      </c>
      <c r="H280" s="40">
        <v>65000</v>
      </c>
      <c r="I280" s="40">
        <f t="shared" si="30"/>
        <v>65000</v>
      </c>
      <c r="J280" s="131">
        <v>0</v>
      </c>
      <c r="K280" s="127">
        <v>65000</v>
      </c>
      <c r="L280" s="178">
        <v>65000</v>
      </c>
      <c r="M280" s="127">
        <f t="shared" si="33"/>
        <v>0</v>
      </c>
      <c r="N280" s="127">
        <f>M280</f>
        <v>0</v>
      </c>
    </row>
    <row r="281" spans="1:17" ht="45" x14ac:dyDescent="0.25">
      <c r="A281" s="93">
        <v>19</v>
      </c>
      <c r="B281" s="40">
        <v>1617500012</v>
      </c>
      <c r="C281" s="40" t="s">
        <v>530</v>
      </c>
      <c r="D281" s="40" t="s">
        <v>531</v>
      </c>
      <c r="E281" s="342">
        <v>53</v>
      </c>
      <c r="F281" s="131" t="s">
        <v>495</v>
      </c>
      <c r="G281" s="197" t="s">
        <v>438</v>
      </c>
      <c r="H281" s="131">
        <v>60000</v>
      </c>
      <c r="I281" s="40">
        <f t="shared" si="30"/>
        <v>60000</v>
      </c>
      <c r="J281" s="131">
        <v>0</v>
      </c>
      <c r="K281" s="127">
        <f>30000+30000</f>
        <v>60000</v>
      </c>
      <c r="L281" s="178">
        <f>30000+30000</f>
        <v>60000</v>
      </c>
      <c r="M281" s="127">
        <f t="shared" si="33"/>
        <v>0</v>
      </c>
      <c r="N281" s="127">
        <f>M281</f>
        <v>0</v>
      </c>
    </row>
    <row r="282" spans="1:17" ht="60" x14ac:dyDescent="0.25">
      <c r="A282" s="93">
        <v>29</v>
      </c>
      <c r="B282" s="65">
        <v>1617500036</v>
      </c>
      <c r="C282" s="65" t="s">
        <v>571</v>
      </c>
      <c r="D282" s="65" t="s">
        <v>572</v>
      </c>
      <c r="E282" s="355">
        <v>53</v>
      </c>
      <c r="F282" s="72" t="s">
        <v>573</v>
      </c>
      <c r="G282" s="79" t="s">
        <v>438</v>
      </c>
      <c r="H282" s="65">
        <v>50000</v>
      </c>
      <c r="I282" s="40">
        <f t="shared" si="30"/>
        <v>50000</v>
      </c>
      <c r="J282" s="72">
        <v>0</v>
      </c>
      <c r="K282" s="72">
        <v>50000</v>
      </c>
      <c r="L282" s="163">
        <v>50000</v>
      </c>
      <c r="M282" s="127">
        <f t="shared" si="33"/>
        <v>0</v>
      </c>
      <c r="N282" s="127">
        <f>M282</f>
        <v>0</v>
      </c>
    </row>
    <row r="283" spans="1:17" ht="45" x14ac:dyDescent="0.25">
      <c r="A283" s="93">
        <v>30</v>
      </c>
      <c r="B283" s="79">
        <v>1617500039</v>
      </c>
      <c r="C283" s="127" t="s">
        <v>576</v>
      </c>
      <c r="D283" s="79" t="s">
        <v>577</v>
      </c>
      <c r="E283" s="167">
        <v>53</v>
      </c>
      <c r="F283" s="127" t="s">
        <v>495</v>
      </c>
      <c r="G283" s="197" t="s">
        <v>438</v>
      </c>
      <c r="H283" s="79">
        <v>50000</v>
      </c>
      <c r="I283" s="40">
        <f t="shared" si="30"/>
        <v>50000</v>
      </c>
      <c r="J283" s="127">
        <v>0</v>
      </c>
      <c r="K283" s="127">
        <v>50000</v>
      </c>
      <c r="L283" s="178">
        <v>50000</v>
      </c>
      <c r="M283" s="127">
        <f t="shared" si="33"/>
        <v>0</v>
      </c>
      <c r="N283" s="127">
        <f>M283</f>
        <v>0</v>
      </c>
    </row>
    <row r="284" spans="1:17" ht="15" x14ac:dyDescent="0.25">
      <c r="A284" s="349"/>
      <c r="B284" s="349"/>
      <c r="C284" s="349"/>
      <c r="D284" s="349" t="s">
        <v>786</v>
      </c>
      <c r="E284" s="153"/>
      <c r="F284" s="349"/>
      <c r="G284" s="349"/>
      <c r="H284" s="349"/>
      <c r="I284" s="349"/>
      <c r="J284" s="349"/>
      <c r="K284" s="349"/>
      <c r="L284" s="72">
        <v>1284715</v>
      </c>
      <c r="M284" s="349"/>
      <c r="N284" s="349"/>
      <c r="O284" s="62"/>
      <c r="P284" s="62"/>
      <c r="Q284" s="62"/>
    </row>
    <row r="285" spans="1:17" x14ac:dyDescent="0.25">
      <c r="A285" s="349"/>
      <c r="B285" s="350"/>
      <c r="C285" s="349"/>
      <c r="D285" s="349"/>
      <c r="E285" s="153"/>
      <c r="F285" s="349"/>
      <c r="G285" s="349"/>
      <c r="H285" s="349"/>
      <c r="I285" s="271">
        <f>SUM(I4:I283)</f>
        <v>377333195</v>
      </c>
      <c r="J285" s="349"/>
      <c r="K285" s="349"/>
      <c r="L285" s="349">
        <f>SUM(L4:L284)</f>
        <v>120172014.09</v>
      </c>
      <c r="M285" s="349">
        <f>SUM(M4:M284)</f>
        <v>260801365.81</v>
      </c>
      <c r="N285" s="349">
        <f>SUM(N4:N283)</f>
        <v>75074262.310000002</v>
      </c>
      <c r="O285" s="62"/>
      <c r="P285" s="62"/>
      <c r="Q285" s="62"/>
    </row>
    <row r="286" spans="1:17" ht="39.75" customHeight="1" x14ac:dyDescent="0.25">
      <c r="L286" s="401" t="s">
        <v>896</v>
      </c>
    </row>
    <row r="291" spans="1:21" ht="60" x14ac:dyDescent="0.25">
      <c r="A291" s="9">
        <v>78</v>
      </c>
      <c r="B291" s="107">
        <v>100064</v>
      </c>
      <c r="C291" s="107" t="s">
        <v>64</v>
      </c>
      <c r="D291" s="108" t="s">
        <v>65</v>
      </c>
      <c r="E291" s="379">
        <v>3</v>
      </c>
      <c r="F291" s="109" t="s">
        <v>66</v>
      </c>
      <c r="G291" s="128" t="s">
        <v>23</v>
      </c>
      <c r="H291" s="109">
        <v>185000</v>
      </c>
      <c r="I291" s="148">
        <f t="shared" ref="I291:I338" si="35">H291-J291</f>
        <v>185000</v>
      </c>
      <c r="J291" s="109">
        <v>0</v>
      </c>
      <c r="K291" s="109">
        <v>0</v>
      </c>
      <c r="L291" s="109"/>
      <c r="M291" s="149">
        <f t="shared" ref="M291:M316" si="36">H291-(J291+L291)</f>
        <v>185000</v>
      </c>
      <c r="N291" s="27">
        <v>0</v>
      </c>
      <c r="Q291" s="17">
        <f t="shared" ref="Q291:Q297" si="37">K291-L291</f>
        <v>0</v>
      </c>
    </row>
    <row r="292" spans="1:21" ht="105" x14ac:dyDescent="0.25">
      <c r="A292" s="9">
        <v>81</v>
      </c>
      <c r="B292" s="112">
        <v>1617100028</v>
      </c>
      <c r="C292" s="112" t="s">
        <v>126</v>
      </c>
      <c r="D292" s="112" t="s">
        <v>127</v>
      </c>
      <c r="E292" s="380">
        <v>3</v>
      </c>
      <c r="F292" s="113" t="s">
        <v>66</v>
      </c>
      <c r="G292" s="139" t="s">
        <v>23</v>
      </c>
      <c r="H292" s="114">
        <v>500000</v>
      </c>
      <c r="I292" s="148">
        <f t="shared" si="35"/>
        <v>500000</v>
      </c>
      <c r="J292" s="113">
        <v>0</v>
      </c>
      <c r="K292" s="113">
        <v>0</v>
      </c>
      <c r="L292" s="113"/>
      <c r="M292" s="149">
        <f t="shared" si="36"/>
        <v>500000</v>
      </c>
      <c r="N292" s="27">
        <v>0</v>
      </c>
      <c r="O292" s="62"/>
      <c r="P292" s="62"/>
      <c r="Q292" s="17">
        <f t="shared" si="37"/>
        <v>0</v>
      </c>
      <c r="R292" s="28"/>
      <c r="S292" s="28"/>
      <c r="T292" s="28"/>
      <c r="U292" s="28"/>
    </row>
    <row r="293" spans="1:21" ht="75" x14ac:dyDescent="0.25">
      <c r="A293" s="9">
        <v>80</v>
      </c>
      <c r="B293" s="112">
        <v>1617100016</v>
      </c>
      <c r="C293" s="112" t="s">
        <v>105</v>
      </c>
      <c r="D293" s="112" t="s">
        <v>106</v>
      </c>
      <c r="E293" s="380">
        <v>31</v>
      </c>
      <c r="F293" s="113" t="s">
        <v>66</v>
      </c>
      <c r="G293" s="139" t="s">
        <v>107</v>
      </c>
      <c r="H293" s="114">
        <v>472500</v>
      </c>
      <c r="I293" s="148">
        <f t="shared" si="35"/>
        <v>472500</v>
      </c>
      <c r="J293" s="113">
        <v>0</v>
      </c>
      <c r="K293" s="113">
        <v>0</v>
      </c>
      <c r="L293" s="113"/>
      <c r="M293" s="149">
        <f t="shared" si="36"/>
        <v>472500</v>
      </c>
      <c r="N293" s="53">
        <f>M293</f>
        <v>472500</v>
      </c>
      <c r="O293" s="62"/>
      <c r="P293" s="62"/>
      <c r="Q293" s="17">
        <f t="shared" si="37"/>
        <v>0</v>
      </c>
      <c r="R293" s="28"/>
      <c r="S293" s="28"/>
      <c r="T293" s="28"/>
      <c r="U293" s="28"/>
    </row>
    <row r="294" spans="1:21" ht="25.5" x14ac:dyDescent="0.25">
      <c r="A294" s="9">
        <v>79</v>
      </c>
      <c r="B294" s="107">
        <v>100066</v>
      </c>
      <c r="C294" s="110" t="s">
        <v>69</v>
      </c>
      <c r="D294" s="111" t="s">
        <v>70</v>
      </c>
      <c r="E294" s="381">
        <v>6</v>
      </c>
      <c r="F294" s="109" t="s">
        <v>66</v>
      </c>
      <c r="G294" s="130" t="s">
        <v>26</v>
      </c>
      <c r="H294" s="109">
        <v>697750</v>
      </c>
      <c r="I294" s="148">
        <f t="shared" si="35"/>
        <v>697750</v>
      </c>
      <c r="J294" s="109"/>
      <c r="K294" s="109"/>
      <c r="L294" s="109"/>
      <c r="M294" s="149">
        <f t="shared" si="36"/>
        <v>697750</v>
      </c>
      <c r="N294" s="27">
        <v>0</v>
      </c>
      <c r="Q294" s="17">
        <f t="shared" si="37"/>
        <v>0</v>
      </c>
    </row>
    <row r="295" spans="1:21" ht="60" x14ac:dyDescent="0.25">
      <c r="A295" s="9">
        <v>82</v>
      </c>
      <c r="B295" s="107">
        <v>1617100043</v>
      </c>
      <c r="C295" s="107" t="s">
        <v>145</v>
      </c>
      <c r="D295" s="140" t="s">
        <v>146</v>
      </c>
      <c r="E295" s="382">
        <v>7</v>
      </c>
      <c r="F295" s="109" t="s">
        <v>66</v>
      </c>
      <c r="G295" s="130" t="s">
        <v>26</v>
      </c>
      <c r="H295" s="141">
        <v>40000</v>
      </c>
      <c r="I295" s="148">
        <f t="shared" si="35"/>
        <v>40000</v>
      </c>
      <c r="J295" s="109">
        <v>0</v>
      </c>
      <c r="K295" s="109">
        <v>0</v>
      </c>
      <c r="L295" s="109"/>
      <c r="M295" s="149">
        <f t="shared" si="36"/>
        <v>40000</v>
      </c>
      <c r="N295" s="115">
        <v>0</v>
      </c>
      <c r="O295" s="118"/>
      <c r="P295" s="118"/>
      <c r="Q295" s="142">
        <f t="shared" si="37"/>
        <v>0</v>
      </c>
      <c r="R295" s="48"/>
      <c r="S295" s="48"/>
      <c r="T295" s="48"/>
      <c r="U295" s="48"/>
    </row>
    <row r="296" spans="1:21" ht="75" x14ac:dyDescent="0.25">
      <c r="A296" s="9">
        <v>83</v>
      </c>
      <c r="B296" s="107">
        <v>1617100047</v>
      </c>
      <c r="C296" s="107" t="s">
        <v>69</v>
      </c>
      <c r="D296" s="140" t="s">
        <v>150</v>
      </c>
      <c r="E296" s="382">
        <v>7</v>
      </c>
      <c r="F296" s="143" t="s">
        <v>66</v>
      </c>
      <c r="G296" s="144" t="s">
        <v>26</v>
      </c>
      <c r="H296" s="143">
        <v>275000</v>
      </c>
      <c r="I296" s="148">
        <f t="shared" si="35"/>
        <v>275000</v>
      </c>
      <c r="J296" s="109">
        <v>0</v>
      </c>
      <c r="K296" s="109">
        <v>0</v>
      </c>
      <c r="L296" s="109"/>
      <c r="M296" s="149">
        <f t="shared" si="36"/>
        <v>275000</v>
      </c>
      <c r="N296" s="115">
        <f>M296/3</f>
        <v>91666.666666666672</v>
      </c>
      <c r="O296" s="118"/>
      <c r="P296" s="118"/>
      <c r="Q296" s="142">
        <f t="shared" si="37"/>
        <v>0</v>
      </c>
      <c r="R296" s="48"/>
      <c r="S296" s="48"/>
      <c r="T296" s="48"/>
      <c r="U296" s="48"/>
    </row>
    <row r="297" spans="1:21" ht="45" x14ac:dyDescent="0.25">
      <c r="A297" s="9">
        <v>84</v>
      </c>
      <c r="B297" s="116">
        <v>1617400072</v>
      </c>
      <c r="C297" s="116" t="s">
        <v>69</v>
      </c>
      <c r="D297" s="116" t="s">
        <v>157</v>
      </c>
      <c r="E297" s="383">
        <v>9</v>
      </c>
      <c r="F297" s="113" t="s">
        <v>66</v>
      </c>
      <c r="G297" s="136" t="s">
        <v>26</v>
      </c>
      <c r="H297" s="117">
        <v>30400</v>
      </c>
      <c r="I297" s="148">
        <f t="shared" si="35"/>
        <v>30400</v>
      </c>
      <c r="J297" s="117">
        <v>0</v>
      </c>
      <c r="K297" s="117">
        <v>0</v>
      </c>
      <c r="L297" s="117"/>
      <c r="M297" s="149">
        <f t="shared" si="36"/>
        <v>30400</v>
      </c>
      <c r="N297" s="27">
        <f>M297</f>
        <v>30400</v>
      </c>
      <c r="O297" s="66"/>
      <c r="P297" s="66"/>
      <c r="Q297" s="17">
        <f t="shared" si="37"/>
        <v>0</v>
      </c>
    </row>
    <row r="298" spans="1:21" ht="105" x14ac:dyDescent="0.25">
      <c r="A298" s="93">
        <v>75</v>
      </c>
      <c r="B298" s="112">
        <v>1617200002</v>
      </c>
      <c r="C298" s="112" t="s">
        <v>285</v>
      </c>
      <c r="D298" s="112" t="s">
        <v>286</v>
      </c>
      <c r="E298" s="380">
        <v>15</v>
      </c>
      <c r="F298" s="204" t="s">
        <v>66</v>
      </c>
      <c r="G298" s="210" t="s">
        <v>204</v>
      </c>
      <c r="H298" s="114">
        <v>573872</v>
      </c>
      <c r="I298" s="214">
        <f t="shared" si="35"/>
        <v>573872</v>
      </c>
      <c r="J298" s="204">
        <v>0</v>
      </c>
      <c r="K298" s="204">
        <v>0</v>
      </c>
      <c r="L298" s="204"/>
      <c r="M298" s="216">
        <f t="shared" si="36"/>
        <v>573872</v>
      </c>
      <c r="N298" s="162">
        <v>0</v>
      </c>
    </row>
    <row r="299" spans="1:21" ht="45" x14ac:dyDescent="0.25">
      <c r="A299" s="93">
        <v>76</v>
      </c>
      <c r="B299" s="112">
        <v>1617200015</v>
      </c>
      <c r="C299" s="112" t="s">
        <v>301</v>
      </c>
      <c r="D299" s="112" t="s">
        <v>302</v>
      </c>
      <c r="E299" s="380">
        <v>20</v>
      </c>
      <c r="F299" s="204" t="s">
        <v>303</v>
      </c>
      <c r="G299" s="210" t="s">
        <v>204</v>
      </c>
      <c r="H299" s="211">
        <v>300000</v>
      </c>
      <c r="I299" s="214">
        <f t="shared" si="35"/>
        <v>300000</v>
      </c>
      <c r="J299" s="204">
        <v>0</v>
      </c>
      <c r="K299" s="204">
        <v>0</v>
      </c>
      <c r="L299" s="204"/>
      <c r="M299" s="216">
        <f t="shared" si="36"/>
        <v>300000</v>
      </c>
      <c r="N299" s="162">
        <v>0</v>
      </c>
    </row>
    <row r="300" spans="1:21" ht="45" x14ac:dyDescent="0.25">
      <c r="A300" s="93">
        <v>77</v>
      </c>
      <c r="B300" s="204">
        <v>1617200029</v>
      </c>
      <c r="C300" s="112" t="s">
        <v>329</v>
      </c>
      <c r="D300" s="112" t="s">
        <v>330</v>
      </c>
      <c r="E300" s="380">
        <v>13</v>
      </c>
      <c r="F300" s="204" t="s">
        <v>66</v>
      </c>
      <c r="G300" s="143" t="s">
        <v>204</v>
      </c>
      <c r="H300" s="204">
        <v>8592</v>
      </c>
      <c r="I300" s="214">
        <f t="shared" si="35"/>
        <v>8592</v>
      </c>
      <c r="J300" s="204">
        <v>0</v>
      </c>
      <c r="K300" s="204">
        <v>0</v>
      </c>
      <c r="L300" s="204"/>
      <c r="M300" s="216">
        <f t="shared" si="36"/>
        <v>8592</v>
      </c>
      <c r="N300" s="162">
        <v>0</v>
      </c>
    </row>
    <row r="301" spans="1:21" ht="75" x14ac:dyDescent="0.25">
      <c r="A301" s="93">
        <v>78</v>
      </c>
      <c r="B301" s="204">
        <v>1617200030</v>
      </c>
      <c r="C301" s="204" t="s">
        <v>69</v>
      </c>
      <c r="D301" s="116" t="s">
        <v>331</v>
      </c>
      <c r="E301" s="383">
        <v>13</v>
      </c>
      <c r="F301" s="204" t="s">
        <v>66</v>
      </c>
      <c r="G301" s="143" t="s">
        <v>204</v>
      </c>
      <c r="H301" s="204">
        <v>71600</v>
      </c>
      <c r="I301" s="214">
        <f t="shared" si="35"/>
        <v>71600</v>
      </c>
      <c r="J301" s="204">
        <v>0</v>
      </c>
      <c r="K301" s="204">
        <v>0</v>
      </c>
      <c r="L301" s="204"/>
      <c r="M301" s="216">
        <f t="shared" si="36"/>
        <v>71600</v>
      </c>
      <c r="N301" s="162">
        <v>0</v>
      </c>
    </row>
    <row r="302" spans="1:21" ht="135" x14ac:dyDescent="0.25">
      <c r="A302" s="93">
        <v>79</v>
      </c>
      <c r="B302" s="112">
        <v>1617200035</v>
      </c>
      <c r="C302" s="212" t="s">
        <v>338</v>
      </c>
      <c r="D302" s="112" t="s">
        <v>339</v>
      </c>
      <c r="E302" s="380">
        <v>21</v>
      </c>
      <c r="F302" s="204" t="s">
        <v>66</v>
      </c>
      <c r="G302" s="210" t="s">
        <v>204</v>
      </c>
      <c r="H302" s="114">
        <v>115500</v>
      </c>
      <c r="I302" s="214">
        <f t="shared" si="35"/>
        <v>115500</v>
      </c>
      <c r="J302" s="204">
        <v>0</v>
      </c>
      <c r="K302" s="204">
        <v>0</v>
      </c>
      <c r="L302" s="204"/>
      <c r="M302" s="216">
        <f t="shared" si="36"/>
        <v>115500</v>
      </c>
      <c r="N302" s="162">
        <f>M302</f>
        <v>115500</v>
      </c>
      <c r="R302" s="57"/>
      <c r="S302" s="57"/>
      <c r="T302" s="57"/>
      <c r="U302" s="57"/>
    </row>
    <row r="303" spans="1:21" ht="120" x14ac:dyDescent="0.25">
      <c r="A303" s="93">
        <v>80</v>
      </c>
      <c r="B303" s="204">
        <v>1617200036</v>
      </c>
      <c r="C303" s="204" t="s">
        <v>340</v>
      </c>
      <c r="D303" s="112" t="s">
        <v>341</v>
      </c>
      <c r="E303" s="380">
        <v>17</v>
      </c>
      <c r="F303" s="204" t="s">
        <v>66</v>
      </c>
      <c r="G303" s="213" t="s">
        <v>204</v>
      </c>
      <c r="H303" s="204">
        <v>480000</v>
      </c>
      <c r="I303" s="214">
        <f t="shared" si="35"/>
        <v>480000</v>
      </c>
      <c r="J303" s="204">
        <v>0</v>
      </c>
      <c r="K303" s="204">
        <v>0</v>
      </c>
      <c r="L303" s="204"/>
      <c r="M303" s="216">
        <f t="shared" si="36"/>
        <v>480000</v>
      </c>
      <c r="N303" s="162">
        <v>0</v>
      </c>
    </row>
    <row r="304" spans="1:21" ht="45" x14ac:dyDescent="0.25">
      <c r="A304" s="93">
        <v>81</v>
      </c>
      <c r="B304" s="112">
        <v>1617200038</v>
      </c>
      <c r="C304" s="213" t="s">
        <v>69</v>
      </c>
      <c r="D304" s="112" t="s">
        <v>342</v>
      </c>
      <c r="E304" s="380">
        <v>17</v>
      </c>
      <c r="F304" s="213" t="s">
        <v>66</v>
      </c>
      <c r="G304" s="210" t="s">
        <v>204</v>
      </c>
      <c r="H304" s="213">
        <v>75000</v>
      </c>
      <c r="I304" s="214">
        <f t="shared" si="35"/>
        <v>75000</v>
      </c>
      <c r="J304" s="213">
        <v>0</v>
      </c>
      <c r="K304" s="213">
        <v>0</v>
      </c>
      <c r="L304" s="213"/>
      <c r="M304" s="216">
        <f t="shared" si="36"/>
        <v>75000</v>
      </c>
      <c r="N304" s="162">
        <v>0</v>
      </c>
    </row>
    <row r="305" spans="1:21" ht="90" x14ac:dyDescent="0.25">
      <c r="A305" s="93">
        <v>82</v>
      </c>
      <c r="B305" s="112">
        <v>1617200041</v>
      </c>
      <c r="C305" s="112" t="s">
        <v>346</v>
      </c>
      <c r="D305" s="112" t="s">
        <v>347</v>
      </c>
      <c r="E305" s="380">
        <v>15</v>
      </c>
      <c r="F305" s="204" t="s">
        <v>66</v>
      </c>
      <c r="G305" s="210" t="s">
        <v>204</v>
      </c>
      <c r="H305" s="114">
        <v>344700</v>
      </c>
      <c r="I305" s="214">
        <f t="shared" si="35"/>
        <v>344700</v>
      </c>
      <c r="J305" s="204">
        <v>0</v>
      </c>
      <c r="K305" s="204">
        <v>0</v>
      </c>
      <c r="L305" s="204"/>
      <c r="M305" s="216">
        <f t="shared" si="36"/>
        <v>344700</v>
      </c>
      <c r="N305" s="162">
        <v>0</v>
      </c>
    </row>
    <row r="306" spans="1:21" ht="105" x14ac:dyDescent="0.25">
      <c r="A306" s="93">
        <v>83</v>
      </c>
      <c r="B306" s="112">
        <v>1617200042</v>
      </c>
      <c r="C306" s="112" t="s">
        <v>348</v>
      </c>
      <c r="D306" s="112" t="s">
        <v>349</v>
      </c>
      <c r="E306" s="380">
        <v>15</v>
      </c>
      <c r="F306" s="204" t="s">
        <v>66</v>
      </c>
      <c r="G306" s="210" t="s">
        <v>204</v>
      </c>
      <c r="H306" s="114">
        <v>380000</v>
      </c>
      <c r="I306" s="214">
        <f t="shared" si="35"/>
        <v>380000</v>
      </c>
      <c r="J306" s="204">
        <v>0</v>
      </c>
      <c r="K306" s="204">
        <v>0</v>
      </c>
      <c r="L306" s="204"/>
      <c r="M306" s="216">
        <f t="shared" si="36"/>
        <v>380000</v>
      </c>
      <c r="N306" s="162">
        <v>0</v>
      </c>
    </row>
    <row r="307" spans="1:21" ht="90" x14ac:dyDescent="0.25">
      <c r="A307" s="93">
        <v>84</v>
      </c>
      <c r="B307" s="112">
        <v>1617200043</v>
      </c>
      <c r="C307" s="112" t="s">
        <v>350</v>
      </c>
      <c r="D307" s="112" t="s">
        <v>351</v>
      </c>
      <c r="E307" s="380">
        <v>15</v>
      </c>
      <c r="F307" s="204" t="s">
        <v>66</v>
      </c>
      <c r="G307" s="210" t="s">
        <v>204</v>
      </c>
      <c r="H307" s="114">
        <v>497000</v>
      </c>
      <c r="I307" s="214">
        <f t="shared" si="35"/>
        <v>497000</v>
      </c>
      <c r="J307" s="204">
        <v>0</v>
      </c>
      <c r="K307" s="204">
        <v>0</v>
      </c>
      <c r="L307" s="204"/>
      <c r="M307" s="216">
        <f t="shared" si="36"/>
        <v>497000</v>
      </c>
      <c r="N307" s="162">
        <v>0</v>
      </c>
    </row>
    <row r="308" spans="1:21" ht="51" x14ac:dyDescent="0.25">
      <c r="A308" s="93">
        <v>85</v>
      </c>
      <c r="B308" s="141">
        <v>1617200047</v>
      </c>
      <c r="C308" s="213"/>
      <c r="D308" s="141" t="s">
        <v>356</v>
      </c>
      <c r="E308" s="294">
        <v>17</v>
      </c>
      <c r="F308" s="204" t="s">
        <v>66</v>
      </c>
      <c r="G308" s="213" t="s">
        <v>204</v>
      </c>
      <c r="H308" s="141">
        <v>90000</v>
      </c>
      <c r="I308" s="214">
        <f t="shared" si="35"/>
        <v>90000</v>
      </c>
      <c r="J308" s="204">
        <v>0</v>
      </c>
      <c r="K308" s="204">
        <v>0</v>
      </c>
      <c r="L308" s="204"/>
      <c r="M308" s="216">
        <f t="shared" si="36"/>
        <v>90000</v>
      </c>
      <c r="N308" s="162">
        <v>0</v>
      </c>
    </row>
    <row r="309" spans="1:21" ht="51" x14ac:dyDescent="0.25">
      <c r="A309" s="93">
        <v>86</v>
      </c>
      <c r="B309" s="141">
        <v>1617200050</v>
      </c>
      <c r="C309" s="141" t="s">
        <v>359</v>
      </c>
      <c r="D309" s="141" t="s">
        <v>360</v>
      </c>
      <c r="E309" s="294">
        <v>15</v>
      </c>
      <c r="F309" s="204" t="s">
        <v>66</v>
      </c>
      <c r="G309" s="213" t="s">
        <v>204</v>
      </c>
      <c r="H309" s="141">
        <v>416400</v>
      </c>
      <c r="I309" s="214">
        <f t="shared" si="35"/>
        <v>416400</v>
      </c>
      <c r="J309" s="204">
        <v>0</v>
      </c>
      <c r="K309" s="204">
        <v>0</v>
      </c>
      <c r="L309" s="204"/>
      <c r="M309" s="216">
        <f t="shared" si="36"/>
        <v>416400</v>
      </c>
      <c r="N309" s="162">
        <v>0</v>
      </c>
    </row>
    <row r="310" spans="1:21" ht="75" x14ac:dyDescent="0.25">
      <c r="A310" s="93">
        <v>87</v>
      </c>
      <c r="B310" s="204">
        <v>1617200052</v>
      </c>
      <c r="C310" s="116" t="s">
        <v>363</v>
      </c>
      <c r="D310" s="116" t="s">
        <v>364</v>
      </c>
      <c r="E310" s="383">
        <v>17</v>
      </c>
      <c r="F310" s="204" t="s">
        <v>66</v>
      </c>
      <c r="G310" s="210" t="s">
        <v>204</v>
      </c>
      <c r="H310" s="204">
        <v>200000</v>
      </c>
      <c r="I310" s="214">
        <f t="shared" si="35"/>
        <v>200000</v>
      </c>
      <c r="J310" s="204">
        <v>0</v>
      </c>
      <c r="K310" s="204"/>
      <c r="L310" s="204"/>
      <c r="M310" s="216">
        <f t="shared" si="36"/>
        <v>200000</v>
      </c>
      <c r="N310" s="162">
        <f>M310</f>
        <v>200000</v>
      </c>
      <c r="R310" s="62"/>
      <c r="S310" s="62"/>
      <c r="T310" s="62"/>
      <c r="U310" s="62"/>
    </row>
    <row r="311" spans="1:21" ht="60" x14ac:dyDescent="0.25">
      <c r="A311" s="93">
        <v>88</v>
      </c>
      <c r="B311" s="204">
        <v>1617200053</v>
      </c>
      <c r="C311" s="116" t="s">
        <v>365</v>
      </c>
      <c r="D311" s="116" t="s">
        <v>366</v>
      </c>
      <c r="E311" s="383">
        <v>21</v>
      </c>
      <c r="F311" s="204" t="s">
        <v>66</v>
      </c>
      <c r="G311" s="210" t="s">
        <v>204</v>
      </c>
      <c r="H311" s="204">
        <v>100000</v>
      </c>
      <c r="I311" s="214">
        <f t="shared" si="35"/>
        <v>100000</v>
      </c>
      <c r="J311" s="204">
        <v>0</v>
      </c>
      <c r="K311" s="204"/>
      <c r="L311" s="204"/>
      <c r="M311" s="216">
        <f t="shared" si="36"/>
        <v>100000</v>
      </c>
      <c r="N311" s="162">
        <f>M311</f>
        <v>100000</v>
      </c>
      <c r="R311" s="62"/>
      <c r="S311" s="62"/>
      <c r="T311" s="62"/>
      <c r="U311" s="62"/>
    </row>
    <row r="312" spans="1:21" ht="60" x14ac:dyDescent="0.25">
      <c r="A312" s="93">
        <v>89</v>
      </c>
      <c r="B312" s="204">
        <v>1617200054</v>
      </c>
      <c r="C312" s="116" t="s">
        <v>367</v>
      </c>
      <c r="D312" s="116" t="s">
        <v>368</v>
      </c>
      <c r="E312" s="383">
        <v>21</v>
      </c>
      <c r="F312" s="204" t="s">
        <v>66</v>
      </c>
      <c r="G312" s="210" t="s">
        <v>204</v>
      </c>
      <c r="H312" s="204">
        <v>30000</v>
      </c>
      <c r="I312" s="214">
        <f t="shared" si="35"/>
        <v>30000</v>
      </c>
      <c r="J312" s="204">
        <v>0</v>
      </c>
      <c r="K312" s="204"/>
      <c r="L312" s="204"/>
      <c r="M312" s="216">
        <f t="shared" si="36"/>
        <v>30000</v>
      </c>
      <c r="N312" s="162">
        <f>M312</f>
        <v>30000</v>
      </c>
      <c r="R312" s="62"/>
      <c r="S312" s="62"/>
      <c r="T312" s="62"/>
      <c r="U312" s="62"/>
    </row>
    <row r="313" spans="1:21" ht="60" x14ac:dyDescent="0.25">
      <c r="A313" s="93">
        <v>90</v>
      </c>
      <c r="B313" s="204">
        <v>1617200056</v>
      </c>
      <c r="C313" s="116" t="s">
        <v>369</v>
      </c>
      <c r="D313" s="116" t="s">
        <v>370</v>
      </c>
      <c r="E313" s="383">
        <v>20</v>
      </c>
      <c r="F313" s="204" t="s">
        <v>66</v>
      </c>
      <c r="G313" s="210" t="s">
        <v>204</v>
      </c>
      <c r="H313" s="204">
        <v>42000</v>
      </c>
      <c r="I313" s="214">
        <f t="shared" si="35"/>
        <v>42000</v>
      </c>
      <c r="J313" s="204">
        <v>0</v>
      </c>
      <c r="K313" s="204"/>
      <c r="L313" s="204"/>
      <c r="M313" s="216">
        <f t="shared" si="36"/>
        <v>42000</v>
      </c>
      <c r="N313" s="162">
        <f>M313</f>
        <v>42000</v>
      </c>
      <c r="R313" s="62"/>
      <c r="S313" s="62"/>
      <c r="T313" s="62"/>
      <c r="U313" s="62"/>
    </row>
    <row r="314" spans="1:21" ht="90" x14ac:dyDescent="0.25">
      <c r="A314" s="93">
        <v>91</v>
      </c>
      <c r="B314" s="204">
        <v>1617200057</v>
      </c>
      <c r="C314" s="116" t="s">
        <v>371</v>
      </c>
      <c r="D314" s="116" t="s">
        <v>372</v>
      </c>
      <c r="E314" s="383">
        <v>15</v>
      </c>
      <c r="F314" s="204" t="s">
        <v>66</v>
      </c>
      <c r="G314" s="210" t="s">
        <v>204</v>
      </c>
      <c r="H314" s="204">
        <v>247500</v>
      </c>
      <c r="I314" s="214">
        <f t="shared" si="35"/>
        <v>247500</v>
      </c>
      <c r="J314" s="204">
        <v>0</v>
      </c>
      <c r="K314" s="204"/>
      <c r="L314" s="204"/>
      <c r="M314" s="216">
        <f t="shared" si="36"/>
        <v>247500</v>
      </c>
      <c r="N314" s="162">
        <f>M314</f>
        <v>247500</v>
      </c>
      <c r="R314" s="62"/>
      <c r="S314" s="62"/>
      <c r="T314" s="62"/>
      <c r="U314" s="62"/>
    </row>
    <row r="315" spans="1:21" ht="38.25" x14ac:dyDescent="0.25">
      <c r="A315" s="93">
        <v>92</v>
      </c>
      <c r="B315" s="141">
        <v>1617200061</v>
      </c>
      <c r="C315" s="213" t="s">
        <v>376</v>
      </c>
      <c r="D315" s="141" t="s">
        <v>377</v>
      </c>
      <c r="E315" s="294">
        <v>15</v>
      </c>
      <c r="F315" s="204" t="s">
        <v>66</v>
      </c>
      <c r="G315" s="213" t="s">
        <v>204</v>
      </c>
      <c r="H315" s="141">
        <v>462000</v>
      </c>
      <c r="I315" s="214">
        <f t="shared" si="35"/>
        <v>462000</v>
      </c>
      <c r="J315" s="204">
        <v>0</v>
      </c>
      <c r="K315" s="204">
        <v>0</v>
      </c>
      <c r="L315" s="204"/>
      <c r="M315" s="216">
        <f t="shared" si="36"/>
        <v>462000</v>
      </c>
      <c r="N315" s="162">
        <v>0</v>
      </c>
      <c r="R315" s="62"/>
      <c r="S315" s="62"/>
      <c r="T315" s="62"/>
      <c r="U315" s="62"/>
    </row>
    <row r="316" spans="1:21" ht="63.75" x14ac:dyDescent="0.25">
      <c r="A316" s="93">
        <v>74</v>
      </c>
      <c r="B316" s="209">
        <v>200107</v>
      </c>
      <c r="C316" s="112" t="s">
        <v>269</v>
      </c>
      <c r="D316" s="112" t="s">
        <v>270</v>
      </c>
      <c r="E316" s="380">
        <v>24</v>
      </c>
      <c r="F316" s="204" t="s">
        <v>66</v>
      </c>
      <c r="G316" s="210" t="s">
        <v>137</v>
      </c>
      <c r="H316" s="112">
        <v>260000</v>
      </c>
      <c r="I316" s="214">
        <f t="shared" si="35"/>
        <v>260000</v>
      </c>
      <c r="J316" s="204">
        <v>0</v>
      </c>
      <c r="K316" s="204">
        <v>0</v>
      </c>
      <c r="L316" s="204"/>
      <c r="M316" s="216">
        <f t="shared" si="36"/>
        <v>260000</v>
      </c>
      <c r="N316" s="162">
        <v>0</v>
      </c>
      <c r="R316" s="62"/>
      <c r="S316" s="62"/>
      <c r="T316" s="62"/>
      <c r="U316" s="62"/>
    </row>
    <row r="317" spans="1:21" ht="90" x14ac:dyDescent="0.25">
      <c r="A317" s="167">
        <v>35</v>
      </c>
      <c r="B317" s="116">
        <v>1617300012</v>
      </c>
      <c r="C317" s="116" t="s">
        <v>454</v>
      </c>
      <c r="D317" s="116" t="s">
        <v>455</v>
      </c>
      <c r="E317" s="384">
        <v>39</v>
      </c>
      <c r="F317" s="136" t="s">
        <v>66</v>
      </c>
      <c r="G317" s="141" t="s">
        <v>456</v>
      </c>
      <c r="H317" s="116">
        <v>4000000</v>
      </c>
      <c r="I317" s="136">
        <f t="shared" si="35"/>
        <v>4000000</v>
      </c>
      <c r="J317" s="136">
        <v>0</v>
      </c>
      <c r="K317" s="275">
        <v>0</v>
      </c>
      <c r="L317" s="136"/>
      <c r="M317" s="136">
        <f t="shared" ref="M317:M329" si="38">H317-(J317+K317)</f>
        <v>4000000</v>
      </c>
      <c r="N317" s="136">
        <v>0</v>
      </c>
      <c r="R317" s="62"/>
      <c r="S317" s="62"/>
      <c r="T317" s="62"/>
      <c r="U317" s="62"/>
    </row>
    <row r="318" spans="1:21" ht="75" x14ac:dyDescent="0.25">
      <c r="A318" s="167">
        <v>38</v>
      </c>
      <c r="B318" s="141">
        <v>1617300026</v>
      </c>
      <c r="C318" s="136" t="s">
        <v>439</v>
      </c>
      <c r="D318" s="116" t="s">
        <v>465</v>
      </c>
      <c r="E318" s="384">
        <v>28</v>
      </c>
      <c r="F318" s="136" t="s">
        <v>66</v>
      </c>
      <c r="G318" s="116" t="s">
        <v>107</v>
      </c>
      <c r="H318" s="136">
        <v>20070</v>
      </c>
      <c r="I318" s="136">
        <f t="shared" si="35"/>
        <v>20070</v>
      </c>
      <c r="J318" s="326">
        <v>0</v>
      </c>
      <c r="K318" s="136">
        <v>0</v>
      </c>
      <c r="L318" s="136"/>
      <c r="M318" s="136">
        <f t="shared" si="38"/>
        <v>20070</v>
      </c>
      <c r="N318" s="136">
        <v>0</v>
      </c>
      <c r="R318" s="62"/>
      <c r="S318" s="62"/>
      <c r="T318" s="62"/>
      <c r="U318" s="62"/>
    </row>
    <row r="319" spans="1:21" ht="60" x14ac:dyDescent="0.25">
      <c r="A319" s="93">
        <v>36</v>
      </c>
      <c r="B319" s="112">
        <v>1617300015</v>
      </c>
      <c r="C319" s="112" t="s">
        <v>458</v>
      </c>
      <c r="D319" s="112" t="s">
        <v>459</v>
      </c>
      <c r="E319" s="384">
        <v>29</v>
      </c>
      <c r="F319" s="136"/>
      <c r="G319" s="136" t="s">
        <v>18</v>
      </c>
      <c r="H319" s="112">
        <v>400000</v>
      </c>
      <c r="I319" s="136">
        <f t="shared" si="35"/>
        <v>400000</v>
      </c>
      <c r="J319" s="136">
        <v>0</v>
      </c>
      <c r="K319" s="275">
        <v>0</v>
      </c>
      <c r="L319" s="275"/>
      <c r="M319" s="275">
        <f t="shared" si="38"/>
        <v>400000</v>
      </c>
      <c r="N319" s="136">
        <v>0</v>
      </c>
      <c r="R319" s="62"/>
      <c r="S319" s="62"/>
      <c r="T319" s="62"/>
      <c r="U319" s="62"/>
    </row>
    <row r="320" spans="1:21" ht="75" x14ac:dyDescent="0.25">
      <c r="A320" s="167"/>
      <c r="B320" s="116">
        <v>1617400079</v>
      </c>
      <c r="C320" s="116" t="s">
        <v>69</v>
      </c>
      <c r="D320" s="116" t="s">
        <v>727</v>
      </c>
      <c r="E320" s="383">
        <v>25</v>
      </c>
      <c r="F320" s="136" t="s">
        <v>66</v>
      </c>
      <c r="G320" s="116" t="s">
        <v>241</v>
      </c>
      <c r="H320" s="116">
        <v>14250</v>
      </c>
      <c r="I320" s="345">
        <f t="shared" si="35"/>
        <v>14250</v>
      </c>
      <c r="J320" s="136">
        <v>0</v>
      </c>
      <c r="K320" s="275"/>
      <c r="L320" s="275">
        <v>0</v>
      </c>
      <c r="M320" s="136">
        <f t="shared" si="38"/>
        <v>14250</v>
      </c>
      <c r="N320" s="136">
        <f>M320</f>
        <v>14250</v>
      </c>
      <c r="R320" s="62"/>
      <c r="S320" s="62"/>
      <c r="T320" s="62"/>
      <c r="U320" s="62"/>
    </row>
    <row r="321" spans="1:21" ht="60" x14ac:dyDescent="0.25">
      <c r="A321" s="72"/>
      <c r="B321" s="112">
        <v>1617400061</v>
      </c>
      <c r="C321" s="112" t="s">
        <v>709</v>
      </c>
      <c r="D321" s="112" t="s">
        <v>710</v>
      </c>
      <c r="E321" s="380">
        <v>45</v>
      </c>
      <c r="F321" s="204" t="s">
        <v>66</v>
      </c>
      <c r="G321" s="116" t="s">
        <v>614</v>
      </c>
      <c r="H321" s="112">
        <v>200000</v>
      </c>
      <c r="I321" s="345">
        <f t="shared" si="35"/>
        <v>200000</v>
      </c>
      <c r="J321" s="136">
        <v>0</v>
      </c>
      <c r="K321" s="275">
        <v>0</v>
      </c>
      <c r="L321" s="275"/>
      <c r="M321" s="136">
        <f t="shared" si="38"/>
        <v>200000</v>
      </c>
      <c r="N321" s="136">
        <f>M321</f>
        <v>200000</v>
      </c>
      <c r="R321" s="62"/>
      <c r="S321" s="62"/>
      <c r="T321" s="62"/>
      <c r="U321" s="62"/>
    </row>
    <row r="322" spans="1:21" ht="90" x14ac:dyDescent="0.25">
      <c r="A322" s="93"/>
      <c r="B322" s="112">
        <v>1617400003</v>
      </c>
      <c r="C322" s="112" t="s">
        <v>69</v>
      </c>
      <c r="D322" s="112" t="s">
        <v>661</v>
      </c>
      <c r="E322" s="380">
        <v>34</v>
      </c>
      <c r="F322" s="338" t="s">
        <v>66</v>
      </c>
      <c r="G322" s="116" t="s">
        <v>137</v>
      </c>
      <c r="H322" s="112">
        <v>2858800</v>
      </c>
      <c r="I322" s="345">
        <f t="shared" si="35"/>
        <v>2858800</v>
      </c>
      <c r="J322" s="136"/>
      <c r="K322" s="275"/>
      <c r="L322" s="275"/>
      <c r="M322" s="136">
        <f t="shared" si="38"/>
        <v>2858800</v>
      </c>
      <c r="N322" s="136">
        <v>0</v>
      </c>
      <c r="R322" s="62"/>
      <c r="S322" s="62"/>
      <c r="T322" s="62"/>
      <c r="U322" s="62"/>
    </row>
    <row r="323" spans="1:21" ht="90" x14ac:dyDescent="0.25">
      <c r="A323" s="93">
        <v>43</v>
      </c>
      <c r="B323" s="116">
        <v>1617400019</v>
      </c>
      <c r="C323" s="116" t="s">
        <v>673</v>
      </c>
      <c r="D323" s="116" t="s">
        <v>674</v>
      </c>
      <c r="E323" s="383">
        <v>34</v>
      </c>
      <c r="F323" s="136" t="s">
        <v>66</v>
      </c>
      <c r="G323" s="116" t="s">
        <v>137</v>
      </c>
      <c r="H323" s="136">
        <v>6603828</v>
      </c>
      <c r="I323" s="345">
        <f t="shared" si="35"/>
        <v>6603828</v>
      </c>
      <c r="J323" s="136">
        <v>0</v>
      </c>
      <c r="K323" s="275">
        <v>0</v>
      </c>
      <c r="L323" s="275"/>
      <c r="M323" s="136">
        <f t="shared" si="38"/>
        <v>6603828</v>
      </c>
      <c r="N323" s="136">
        <v>0</v>
      </c>
      <c r="R323" s="62"/>
      <c r="S323" s="62"/>
      <c r="T323" s="62"/>
      <c r="U323" s="62"/>
    </row>
    <row r="324" spans="1:21" ht="90" x14ac:dyDescent="0.25">
      <c r="A324" s="93">
        <v>29</v>
      </c>
      <c r="B324" s="116">
        <v>1617400031</v>
      </c>
      <c r="C324" s="116" t="s">
        <v>69</v>
      </c>
      <c r="D324" s="116" t="s">
        <v>684</v>
      </c>
      <c r="E324" s="383">
        <v>35</v>
      </c>
      <c r="F324" s="136" t="s">
        <v>66</v>
      </c>
      <c r="G324" s="116" t="s">
        <v>137</v>
      </c>
      <c r="H324" s="116">
        <v>68000</v>
      </c>
      <c r="I324" s="345">
        <f t="shared" si="35"/>
        <v>68000</v>
      </c>
      <c r="J324" s="136">
        <v>0</v>
      </c>
      <c r="K324" s="275">
        <v>0</v>
      </c>
      <c r="L324" s="275"/>
      <c r="M324" s="275">
        <f t="shared" si="38"/>
        <v>68000</v>
      </c>
      <c r="N324" s="136">
        <v>0</v>
      </c>
      <c r="R324" s="62"/>
      <c r="S324" s="62"/>
      <c r="T324" s="62"/>
      <c r="U324" s="62"/>
    </row>
    <row r="325" spans="1:21" ht="90" x14ac:dyDescent="0.25">
      <c r="A325" s="93"/>
      <c r="B325" s="112">
        <v>1617400046</v>
      </c>
      <c r="C325" s="112" t="s">
        <v>696</v>
      </c>
      <c r="D325" s="112" t="s">
        <v>697</v>
      </c>
      <c r="E325" s="380">
        <v>36</v>
      </c>
      <c r="F325" s="136" t="s">
        <v>66</v>
      </c>
      <c r="G325" s="116" t="s">
        <v>137</v>
      </c>
      <c r="H325" s="112">
        <v>498575</v>
      </c>
      <c r="I325" s="345">
        <f t="shared" si="35"/>
        <v>498575</v>
      </c>
      <c r="J325" s="136">
        <v>0</v>
      </c>
      <c r="K325" s="136">
        <v>0</v>
      </c>
      <c r="L325" s="136"/>
      <c r="M325" s="136">
        <f t="shared" si="38"/>
        <v>498575</v>
      </c>
      <c r="N325" s="136">
        <v>0</v>
      </c>
      <c r="R325" s="66"/>
      <c r="S325" s="66"/>
      <c r="T325" s="66"/>
      <c r="U325" s="66"/>
    </row>
    <row r="326" spans="1:21" ht="63.75" x14ac:dyDescent="0.25">
      <c r="A326" s="167"/>
      <c r="B326" s="339">
        <v>1617400062</v>
      </c>
      <c r="C326" s="136" t="s">
        <v>711</v>
      </c>
      <c r="D326" s="141" t="s">
        <v>712</v>
      </c>
      <c r="E326" s="294">
        <v>24</v>
      </c>
      <c r="F326" s="136" t="s">
        <v>66</v>
      </c>
      <c r="G326" s="141" t="s">
        <v>137</v>
      </c>
      <c r="H326" s="141">
        <v>496300</v>
      </c>
      <c r="I326" s="345">
        <f t="shared" si="35"/>
        <v>496300</v>
      </c>
      <c r="J326" s="136">
        <v>0</v>
      </c>
      <c r="K326" s="136">
        <v>0</v>
      </c>
      <c r="L326" s="136"/>
      <c r="M326" s="136">
        <f t="shared" si="38"/>
        <v>496300</v>
      </c>
      <c r="N326" s="136">
        <v>0</v>
      </c>
      <c r="R326" s="62"/>
      <c r="S326" s="62"/>
      <c r="T326" s="62"/>
      <c r="U326" s="62"/>
    </row>
    <row r="327" spans="1:21" ht="90" x14ac:dyDescent="0.25">
      <c r="A327" s="93"/>
      <c r="B327" s="116">
        <v>1617400065</v>
      </c>
      <c r="C327" s="116" t="s">
        <v>397</v>
      </c>
      <c r="D327" s="116" t="s">
        <v>715</v>
      </c>
      <c r="E327" s="383">
        <v>36</v>
      </c>
      <c r="F327" s="136" t="s">
        <v>66</v>
      </c>
      <c r="G327" s="116" t="s">
        <v>137</v>
      </c>
      <c r="H327" s="116">
        <v>14600</v>
      </c>
      <c r="I327" s="345">
        <f t="shared" si="35"/>
        <v>14600</v>
      </c>
      <c r="J327" s="136">
        <v>0</v>
      </c>
      <c r="K327" s="275"/>
      <c r="L327" s="275">
        <v>0</v>
      </c>
      <c r="M327" s="136">
        <f t="shared" si="38"/>
        <v>14600</v>
      </c>
      <c r="N327" s="136">
        <f>M327</f>
        <v>14600</v>
      </c>
      <c r="R327" s="62"/>
      <c r="S327" s="62"/>
      <c r="T327" s="62"/>
      <c r="U327" s="62"/>
    </row>
    <row r="328" spans="1:21" ht="63.75" x14ac:dyDescent="0.25">
      <c r="A328" s="294"/>
      <c r="B328" s="141">
        <v>1617400044</v>
      </c>
      <c r="C328" s="136" t="s">
        <v>397</v>
      </c>
      <c r="D328" s="141" t="s">
        <v>695</v>
      </c>
      <c r="E328" s="294">
        <v>38</v>
      </c>
      <c r="F328" s="136" t="s">
        <v>66</v>
      </c>
      <c r="G328" s="141" t="s">
        <v>137</v>
      </c>
      <c r="H328" s="141">
        <v>150523</v>
      </c>
      <c r="I328" s="345">
        <f t="shared" si="35"/>
        <v>150523</v>
      </c>
      <c r="J328" s="136">
        <v>0</v>
      </c>
      <c r="K328" s="136">
        <v>0</v>
      </c>
      <c r="L328" s="136"/>
      <c r="M328" s="136">
        <f t="shared" si="38"/>
        <v>150523</v>
      </c>
      <c r="N328" s="136">
        <v>0</v>
      </c>
      <c r="R328" s="62"/>
      <c r="S328" s="62"/>
      <c r="T328" s="62"/>
      <c r="U328" s="62"/>
    </row>
    <row r="329" spans="1:21" ht="51" x14ac:dyDescent="0.2">
      <c r="A329" s="167"/>
      <c r="B329" s="339">
        <v>1617400058</v>
      </c>
      <c r="C329" s="116" t="s">
        <v>707</v>
      </c>
      <c r="D329" s="346" t="s">
        <v>708</v>
      </c>
      <c r="E329" s="385"/>
      <c r="F329" s="136" t="s">
        <v>66</v>
      </c>
      <c r="G329" s="141"/>
      <c r="H329" s="141">
        <v>50000</v>
      </c>
      <c r="I329" s="345">
        <f t="shared" si="35"/>
        <v>50000</v>
      </c>
      <c r="J329" s="136">
        <v>0</v>
      </c>
      <c r="K329" s="136">
        <v>0</v>
      </c>
      <c r="L329" s="136"/>
      <c r="M329" s="136">
        <f t="shared" si="38"/>
        <v>50000</v>
      </c>
      <c r="N329" s="136">
        <v>0</v>
      </c>
      <c r="R329" s="66"/>
      <c r="S329" s="66"/>
      <c r="T329" s="66"/>
      <c r="U329" s="66"/>
    </row>
    <row r="330" spans="1:21" ht="90" x14ac:dyDescent="0.25">
      <c r="A330" s="294">
        <v>38</v>
      </c>
      <c r="B330" s="116">
        <v>1617500015</v>
      </c>
      <c r="C330" s="116" t="s">
        <v>534</v>
      </c>
      <c r="D330" s="116" t="s">
        <v>535</v>
      </c>
      <c r="E330" s="383">
        <v>48</v>
      </c>
      <c r="F330" s="136" t="s">
        <v>536</v>
      </c>
      <c r="G330" s="116" t="s">
        <v>487</v>
      </c>
      <c r="H330" s="116">
        <v>294820</v>
      </c>
      <c r="I330" s="116">
        <f t="shared" si="35"/>
        <v>294820</v>
      </c>
      <c r="J330" s="136">
        <v>0</v>
      </c>
      <c r="K330" s="136">
        <v>0</v>
      </c>
      <c r="L330" s="136"/>
      <c r="M330" s="136">
        <f t="shared" ref="M330:M338" si="39">H330-(J330+L330)</f>
        <v>294820</v>
      </c>
      <c r="N330" s="136"/>
      <c r="R330" s="62"/>
      <c r="S330" s="62"/>
      <c r="T330" s="62"/>
      <c r="U330" s="62"/>
    </row>
    <row r="331" spans="1:21" ht="90" x14ac:dyDescent="0.25">
      <c r="A331" s="294">
        <v>40</v>
      </c>
      <c r="B331" s="116">
        <v>1617500024</v>
      </c>
      <c r="C331" s="116" t="s">
        <v>548</v>
      </c>
      <c r="D331" s="116" t="s">
        <v>549</v>
      </c>
      <c r="E331" s="383">
        <v>49</v>
      </c>
      <c r="F331" s="136" t="s">
        <v>536</v>
      </c>
      <c r="G331" s="116" t="s">
        <v>487</v>
      </c>
      <c r="H331" s="116">
        <v>50000</v>
      </c>
      <c r="I331" s="116">
        <f t="shared" si="35"/>
        <v>50000</v>
      </c>
      <c r="J331" s="136">
        <v>0</v>
      </c>
      <c r="K331" s="136">
        <v>0</v>
      </c>
      <c r="L331" s="136"/>
      <c r="M331" s="136">
        <f t="shared" si="39"/>
        <v>50000</v>
      </c>
      <c r="N331" s="136">
        <f>M331</f>
        <v>50000</v>
      </c>
      <c r="R331" s="62"/>
      <c r="S331" s="62"/>
      <c r="T331" s="62"/>
      <c r="U331" s="62"/>
    </row>
    <row r="332" spans="1:21" ht="90" x14ac:dyDescent="0.25">
      <c r="A332" s="294">
        <v>41</v>
      </c>
      <c r="B332" s="136">
        <v>1617500030</v>
      </c>
      <c r="C332" s="116" t="s">
        <v>558</v>
      </c>
      <c r="D332" s="116" t="s">
        <v>559</v>
      </c>
      <c r="E332" s="383">
        <v>47</v>
      </c>
      <c r="F332" s="136" t="s">
        <v>536</v>
      </c>
      <c r="G332" s="116" t="s">
        <v>487</v>
      </c>
      <c r="H332" s="136">
        <v>100000</v>
      </c>
      <c r="I332" s="116">
        <f t="shared" si="35"/>
        <v>100000</v>
      </c>
      <c r="J332" s="136">
        <v>0</v>
      </c>
      <c r="K332" s="136">
        <v>0</v>
      </c>
      <c r="L332" s="136"/>
      <c r="M332" s="136">
        <f t="shared" si="39"/>
        <v>100000</v>
      </c>
      <c r="N332" s="136">
        <f>M332</f>
        <v>100000</v>
      </c>
      <c r="R332" s="62"/>
      <c r="S332" s="62"/>
      <c r="T332" s="62"/>
      <c r="U332" s="62"/>
    </row>
    <row r="333" spans="1:21" ht="60" x14ac:dyDescent="0.25">
      <c r="A333" s="294">
        <v>45</v>
      </c>
      <c r="B333" s="112">
        <v>1617500037</v>
      </c>
      <c r="C333" s="112" t="s">
        <v>574</v>
      </c>
      <c r="D333" s="112" t="s">
        <v>575</v>
      </c>
      <c r="E333" s="380">
        <v>47</v>
      </c>
      <c r="F333" s="204" t="s">
        <v>536</v>
      </c>
      <c r="G333" s="141" t="s">
        <v>487</v>
      </c>
      <c r="H333" s="112">
        <v>50000</v>
      </c>
      <c r="I333" s="116">
        <f t="shared" si="35"/>
        <v>50000</v>
      </c>
      <c r="J333" s="204">
        <v>0</v>
      </c>
      <c r="K333" s="204">
        <v>0</v>
      </c>
      <c r="L333" s="204"/>
      <c r="M333" s="136">
        <f t="shared" si="39"/>
        <v>50000</v>
      </c>
      <c r="N333" s="136">
        <f>M333</f>
        <v>50000</v>
      </c>
      <c r="R333" s="62"/>
      <c r="S333" s="62"/>
      <c r="T333" s="62"/>
      <c r="U333" s="62"/>
    </row>
    <row r="334" spans="1:21" ht="60" x14ac:dyDescent="0.25">
      <c r="A334" s="294">
        <v>39</v>
      </c>
      <c r="B334" s="116">
        <v>1617500019</v>
      </c>
      <c r="C334" s="116" t="s">
        <v>541</v>
      </c>
      <c r="D334" s="116" t="s">
        <v>542</v>
      </c>
      <c r="E334" s="383">
        <v>53</v>
      </c>
      <c r="F334" s="136" t="s">
        <v>536</v>
      </c>
      <c r="G334" s="116" t="s">
        <v>438</v>
      </c>
      <c r="H334" s="116">
        <v>50000</v>
      </c>
      <c r="I334" s="116">
        <f t="shared" si="35"/>
        <v>50000</v>
      </c>
      <c r="J334" s="136">
        <v>0</v>
      </c>
      <c r="K334" s="136">
        <v>0</v>
      </c>
      <c r="L334" s="136"/>
      <c r="M334" s="136">
        <f t="shared" si="39"/>
        <v>50000</v>
      </c>
      <c r="N334" s="136">
        <v>0</v>
      </c>
      <c r="R334" s="62"/>
      <c r="S334" s="62"/>
      <c r="T334" s="62"/>
      <c r="U334" s="62"/>
    </row>
    <row r="335" spans="1:21" ht="75" x14ac:dyDescent="0.25">
      <c r="A335" s="294">
        <v>42</v>
      </c>
      <c r="B335" s="136">
        <v>1617500031</v>
      </c>
      <c r="C335" s="116" t="s">
        <v>560</v>
      </c>
      <c r="D335" s="116" t="s">
        <v>561</v>
      </c>
      <c r="E335" s="383">
        <v>51</v>
      </c>
      <c r="F335" s="136" t="s">
        <v>562</v>
      </c>
      <c r="G335" s="116" t="s">
        <v>438</v>
      </c>
      <c r="H335" s="136">
        <v>37900</v>
      </c>
      <c r="I335" s="116">
        <f t="shared" si="35"/>
        <v>37900</v>
      </c>
      <c r="J335" s="136">
        <v>0</v>
      </c>
      <c r="K335" s="136">
        <v>0</v>
      </c>
      <c r="L335" s="136"/>
      <c r="M335" s="136">
        <f t="shared" si="39"/>
        <v>37900</v>
      </c>
      <c r="N335" s="136">
        <f>M335</f>
        <v>37900</v>
      </c>
      <c r="R335" s="62"/>
      <c r="S335" s="62"/>
      <c r="T335" s="62"/>
      <c r="U335" s="62"/>
    </row>
    <row r="336" spans="1:21" ht="105" x14ac:dyDescent="0.25">
      <c r="A336" s="294">
        <v>43</v>
      </c>
      <c r="B336" s="112">
        <v>1617500034</v>
      </c>
      <c r="C336" s="112" t="s">
        <v>567</v>
      </c>
      <c r="D336" s="112" t="s">
        <v>568</v>
      </c>
      <c r="E336" s="380">
        <v>53</v>
      </c>
      <c r="F336" s="204" t="s">
        <v>536</v>
      </c>
      <c r="G336" s="141" t="s">
        <v>438</v>
      </c>
      <c r="H336" s="112">
        <v>500000</v>
      </c>
      <c r="I336" s="116">
        <f t="shared" si="35"/>
        <v>500000</v>
      </c>
      <c r="J336" s="204">
        <v>0</v>
      </c>
      <c r="K336" s="204">
        <v>0</v>
      </c>
      <c r="L336" s="204"/>
      <c r="M336" s="136">
        <f t="shared" si="39"/>
        <v>500000</v>
      </c>
      <c r="N336" s="136">
        <v>200000</v>
      </c>
      <c r="R336" s="62"/>
      <c r="S336" s="62"/>
      <c r="T336" s="62"/>
      <c r="U336" s="62"/>
    </row>
    <row r="337" spans="1:21" ht="60" x14ac:dyDescent="0.25">
      <c r="A337" s="294">
        <v>44</v>
      </c>
      <c r="B337" s="112">
        <v>1617500035</v>
      </c>
      <c r="C337" s="112" t="s">
        <v>569</v>
      </c>
      <c r="D337" s="112" t="s">
        <v>570</v>
      </c>
      <c r="E337" s="380">
        <v>53</v>
      </c>
      <c r="F337" s="204" t="s">
        <v>536</v>
      </c>
      <c r="G337" s="141" t="s">
        <v>438</v>
      </c>
      <c r="H337" s="112">
        <v>50000</v>
      </c>
      <c r="I337" s="116">
        <f t="shared" si="35"/>
        <v>50000</v>
      </c>
      <c r="J337" s="204">
        <v>0</v>
      </c>
      <c r="K337" s="204">
        <v>0</v>
      </c>
      <c r="L337" s="204"/>
      <c r="M337" s="136">
        <f t="shared" si="39"/>
        <v>50000</v>
      </c>
      <c r="N337" s="136">
        <f>M337</f>
        <v>50000</v>
      </c>
      <c r="R337" s="62"/>
      <c r="S337" s="62"/>
      <c r="T337" s="62"/>
      <c r="U337" s="62"/>
    </row>
    <row r="338" spans="1:21" ht="75" x14ac:dyDescent="0.25">
      <c r="A338" s="294">
        <v>46</v>
      </c>
      <c r="B338" s="141">
        <v>1617500044</v>
      </c>
      <c r="C338" s="116" t="s">
        <v>582</v>
      </c>
      <c r="D338" s="141" t="s">
        <v>583</v>
      </c>
      <c r="E338" s="294">
        <v>53</v>
      </c>
      <c r="F338" s="136" t="s">
        <v>536</v>
      </c>
      <c r="G338" s="116" t="s">
        <v>438</v>
      </c>
      <c r="H338" s="141">
        <v>100000</v>
      </c>
      <c r="I338" s="116">
        <f t="shared" si="35"/>
        <v>100000</v>
      </c>
      <c r="J338" s="136">
        <v>0</v>
      </c>
      <c r="K338" s="136">
        <v>0</v>
      </c>
      <c r="L338" s="136"/>
      <c r="M338" s="136">
        <f t="shared" si="39"/>
        <v>100000</v>
      </c>
      <c r="N338" s="136">
        <v>0</v>
      </c>
      <c r="R338" s="62"/>
      <c r="S338" s="62"/>
      <c r="T338" s="62"/>
      <c r="U338" s="62"/>
    </row>
  </sheetData>
  <autoFilter ref="A3:Q285">
    <sortState ref="A4:Q285">
      <sortCondition ref="E3:E285"/>
    </sortState>
  </autoFilter>
  <conditionalFormatting sqref="B76:B77">
    <cfRule type="duplicateValues" dxfId="26" priority="14"/>
  </conditionalFormatting>
  <conditionalFormatting sqref="B78:B79">
    <cfRule type="duplicateValues" dxfId="25" priority="13"/>
  </conditionalFormatting>
  <conditionalFormatting sqref="B80">
    <cfRule type="duplicateValues" dxfId="24" priority="12"/>
  </conditionalFormatting>
  <conditionalFormatting sqref="B156:B158">
    <cfRule type="duplicateValues" dxfId="23" priority="11"/>
  </conditionalFormatting>
  <conditionalFormatting sqref="B159">
    <cfRule type="duplicateValues" dxfId="22" priority="10"/>
  </conditionalFormatting>
  <conditionalFormatting sqref="B160">
    <cfRule type="duplicateValues" dxfId="21" priority="9"/>
  </conditionalFormatting>
  <conditionalFormatting sqref="B155 B159:B160">
    <cfRule type="duplicateValues" dxfId="20" priority="8"/>
  </conditionalFormatting>
  <conditionalFormatting sqref="B221">
    <cfRule type="duplicateValues" dxfId="19" priority="7"/>
  </conditionalFormatting>
  <conditionalFormatting sqref="B265:B266">
    <cfRule type="duplicateValues" dxfId="18" priority="6"/>
  </conditionalFormatting>
  <conditionalFormatting sqref="B264">
    <cfRule type="duplicateValues" dxfId="17" priority="5"/>
  </conditionalFormatting>
  <conditionalFormatting sqref="B267">
    <cfRule type="duplicateValues" dxfId="16" priority="4"/>
  </conditionalFormatting>
  <conditionalFormatting sqref="B269">
    <cfRule type="duplicateValues" dxfId="15" priority="3"/>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99"/>
  <sheetViews>
    <sheetView zoomScale="60" zoomScaleNormal="60" workbookViewId="0">
      <selection sqref="A1:XFD1048576"/>
    </sheetView>
  </sheetViews>
  <sheetFormatPr defaultRowHeight="12.75" x14ac:dyDescent="0.25"/>
  <cols>
    <col min="1" max="1" width="4.85546875" style="91" customWidth="1"/>
    <col min="2" max="2" width="16.42578125" style="92" customWidth="1"/>
    <col min="3" max="3" width="20.85546875" style="92" customWidth="1"/>
    <col min="4" max="4" width="40.28515625" style="92" customWidth="1"/>
    <col min="5" max="5" width="11.5703125" style="91" customWidth="1"/>
    <col min="6" max="6" width="11.5703125" style="92" customWidth="1"/>
    <col min="7" max="7" width="13.7109375" style="137" customWidth="1"/>
    <col min="8" max="8" width="14" style="89" customWidth="1"/>
    <col min="9" max="9" width="17.7109375" style="89" customWidth="1"/>
    <col min="10" max="10" width="12.85546875" style="89" customWidth="1"/>
    <col min="11" max="11" width="0.85546875" style="90" customWidth="1"/>
    <col min="12" max="12" width="15.5703125" style="90" customWidth="1"/>
    <col min="13" max="13" width="17.42578125" style="90" customWidth="1"/>
    <col min="14" max="14" width="15.5703125" style="90" customWidth="1"/>
    <col min="15" max="15" width="21.42578125" style="6" customWidth="1"/>
    <col min="16" max="16" width="25" style="6" customWidth="1"/>
    <col min="17" max="17" width="12.140625" style="6" customWidth="1"/>
    <col min="18" max="16384" width="9.140625" style="6"/>
  </cols>
  <sheetData>
    <row r="1" spans="1:17" x14ac:dyDescent="0.25">
      <c r="A1" s="1" t="s">
        <v>0</v>
      </c>
      <c r="B1" s="2"/>
      <c r="C1" s="1"/>
      <c r="D1" s="3" t="s">
        <v>1</v>
      </c>
      <c r="E1" s="7"/>
      <c r="F1" s="3"/>
      <c r="G1" s="119" t="s">
        <v>2</v>
      </c>
      <c r="H1" s="4"/>
      <c r="I1" s="4"/>
      <c r="J1" s="4"/>
      <c r="K1" s="5"/>
      <c r="L1" s="5"/>
      <c r="M1" s="5"/>
      <c r="N1" s="5"/>
    </row>
    <row r="2" spans="1:17" x14ac:dyDescent="0.25">
      <c r="A2" s="7"/>
      <c r="B2" s="8"/>
      <c r="C2" s="3"/>
      <c r="D2" s="3"/>
      <c r="E2" s="7"/>
      <c r="F2" s="3"/>
      <c r="G2" s="1"/>
      <c r="H2" s="4"/>
      <c r="I2" s="4"/>
      <c r="J2" s="4"/>
      <c r="K2" s="5"/>
      <c r="L2" s="5"/>
      <c r="M2" s="5"/>
      <c r="N2" s="5"/>
    </row>
    <row r="3" spans="1:17" ht="38.25" x14ac:dyDescent="0.25">
      <c r="A3" s="9" t="s">
        <v>3</v>
      </c>
      <c r="B3" s="10" t="s">
        <v>4</v>
      </c>
      <c r="C3" s="11" t="s">
        <v>5</v>
      </c>
      <c r="D3" s="10" t="s">
        <v>6</v>
      </c>
      <c r="E3" s="9" t="s">
        <v>740</v>
      </c>
      <c r="F3" s="12" t="s">
        <v>7</v>
      </c>
      <c r="G3" s="120" t="s">
        <v>8</v>
      </c>
      <c r="H3" s="341" t="s">
        <v>201</v>
      </c>
      <c r="I3" s="13" t="s">
        <v>9</v>
      </c>
      <c r="J3" s="13" t="s">
        <v>10</v>
      </c>
      <c r="K3" s="147" t="s">
        <v>11</v>
      </c>
      <c r="L3" s="14" t="s">
        <v>12</v>
      </c>
      <c r="M3" s="14" t="s">
        <v>13</v>
      </c>
      <c r="N3" s="14" t="s">
        <v>14</v>
      </c>
    </row>
    <row r="4" spans="1:17" ht="45" x14ac:dyDescent="0.25">
      <c r="A4" s="9">
        <v>6</v>
      </c>
      <c r="B4" s="20">
        <v>100024</v>
      </c>
      <c r="C4" s="29" t="s">
        <v>29</v>
      </c>
      <c r="D4" s="29" t="s">
        <v>30</v>
      </c>
      <c r="E4" s="206">
        <v>1</v>
      </c>
      <c r="F4" s="38" t="s">
        <v>31</v>
      </c>
      <c r="G4" s="88" t="s">
        <v>23</v>
      </c>
      <c r="H4" s="23">
        <v>1656500</v>
      </c>
      <c r="I4" s="100">
        <f t="shared" ref="I4:I48" si="0">H4-J4</f>
        <v>1256500</v>
      </c>
      <c r="J4" s="22">
        <v>400000</v>
      </c>
      <c r="K4" s="27">
        <f>150000+200000+500000</f>
        <v>850000</v>
      </c>
      <c r="L4" s="404">
        <f>150000+200000+500000+386466</f>
        <v>1236466</v>
      </c>
      <c r="M4" s="14">
        <f t="shared" ref="M4:M35" si="1">H4-(J4+L4)</f>
        <v>20034</v>
      </c>
      <c r="N4" s="27">
        <f>M4</f>
        <v>20034</v>
      </c>
      <c r="O4" s="28"/>
      <c r="P4" s="28"/>
      <c r="Q4" s="17">
        <f t="shared" ref="Q4:Q19" si="2">K4-L4</f>
        <v>-386466</v>
      </c>
    </row>
    <row r="5" spans="1:17" s="28" customFormat="1" ht="75" x14ac:dyDescent="0.25">
      <c r="A5" s="9">
        <v>3</v>
      </c>
      <c r="B5" s="20">
        <v>100017</v>
      </c>
      <c r="C5" s="21" t="s">
        <v>21</v>
      </c>
      <c r="D5" s="21" t="s">
        <v>22</v>
      </c>
      <c r="E5" s="375">
        <v>2</v>
      </c>
      <c r="F5" s="22" t="s">
        <v>17</v>
      </c>
      <c r="G5" s="122" t="s">
        <v>23</v>
      </c>
      <c r="H5" s="23">
        <v>498740</v>
      </c>
      <c r="I5" s="100">
        <f t="shared" si="0"/>
        <v>132494</v>
      </c>
      <c r="J5" s="24">
        <v>366246</v>
      </c>
      <c r="K5" s="25">
        <f>131231</f>
        <v>131231</v>
      </c>
      <c r="L5" s="26">
        <f>131231</f>
        <v>131231</v>
      </c>
      <c r="M5" s="14">
        <f t="shared" si="1"/>
        <v>1263</v>
      </c>
      <c r="N5" s="27">
        <v>0</v>
      </c>
      <c r="Q5" s="17">
        <f t="shared" si="2"/>
        <v>0</v>
      </c>
    </row>
    <row r="6" spans="1:17" s="28" customFormat="1" ht="75" x14ac:dyDescent="0.25">
      <c r="A6" s="9">
        <v>7</v>
      </c>
      <c r="B6" s="39">
        <v>100025</v>
      </c>
      <c r="C6" s="40" t="s">
        <v>32</v>
      </c>
      <c r="D6" s="41" t="s">
        <v>33</v>
      </c>
      <c r="E6" s="364">
        <v>3</v>
      </c>
      <c r="F6" s="38" t="s">
        <v>31</v>
      </c>
      <c r="G6" s="124" t="s">
        <v>23</v>
      </c>
      <c r="H6" s="38">
        <v>1860000</v>
      </c>
      <c r="I6" s="100">
        <f t="shared" si="0"/>
        <v>1860000</v>
      </c>
      <c r="J6" s="38">
        <v>0</v>
      </c>
      <c r="K6" s="42">
        <v>558000</v>
      </c>
      <c r="L6" s="408">
        <f>558000+744000</f>
        <v>1302000</v>
      </c>
      <c r="M6" s="14">
        <f t="shared" si="1"/>
        <v>558000</v>
      </c>
      <c r="N6" s="27">
        <f>M6-558000</f>
        <v>0</v>
      </c>
      <c r="Q6" s="17">
        <f t="shared" si="2"/>
        <v>-744000</v>
      </c>
    </row>
    <row r="7" spans="1:17" ht="45" x14ac:dyDescent="0.25">
      <c r="A7" s="9">
        <v>8</v>
      </c>
      <c r="B7" s="29">
        <v>100030</v>
      </c>
      <c r="C7" s="29" t="s">
        <v>34</v>
      </c>
      <c r="D7" s="29" t="s">
        <v>35</v>
      </c>
      <c r="E7" s="206">
        <v>3</v>
      </c>
      <c r="F7" s="38" t="s">
        <v>31</v>
      </c>
      <c r="G7" s="88" t="s">
        <v>23</v>
      </c>
      <c r="H7" s="22">
        <v>475000</v>
      </c>
      <c r="I7" s="100">
        <f t="shared" si="0"/>
        <v>167000</v>
      </c>
      <c r="J7" s="22">
        <v>308000</v>
      </c>
      <c r="K7" s="22">
        <f>25000</f>
        <v>25000</v>
      </c>
      <c r="L7" s="54">
        <f>142000+25000</f>
        <v>167000</v>
      </c>
      <c r="M7" s="14">
        <f t="shared" si="1"/>
        <v>0</v>
      </c>
      <c r="N7" s="27">
        <f>25000</f>
        <v>25000</v>
      </c>
      <c r="O7" s="28"/>
      <c r="P7" s="28"/>
      <c r="Q7" s="17">
        <f t="shared" si="2"/>
        <v>-142000</v>
      </c>
    </row>
    <row r="8" spans="1:17" s="48" customFormat="1" ht="45" x14ac:dyDescent="0.25">
      <c r="A8" s="9">
        <v>16</v>
      </c>
      <c r="B8" s="20">
        <v>100055</v>
      </c>
      <c r="C8" s="21" t="s">
        <v>52</v>
      </c>
      <c r="D8" s="55" t="s">
        <v>53</v>
      </c>
      <c r="E8" s="386">
        <v>3</v>
      </c>
      <c r="F8" s="38" t="s">
        <v>17</v>
      </c>
      <c r="G8" s="126" t="s">
        <v>23</v>
      </c>
      <c r="H8" s="22">
        <v>75000</v>
      </c>
      <c r="I8" s="100">
        <f t="shared" si="0"/>
        <v>75000</v>
      </c>
      <c r="J8" s="22">
        <v>0</v>
      </c>
      <c r="K8" s="27">
        <f>50000</f>
        <v>50000</v>
      </c>
      <c r="L8" s="404">
        <f>50000+25000</f>
        <v>75000</v>
      </c>
      <c r="M8" s="14">
        <f t="shared" si="1"/>
        <v>0</v>
      </c>
      <c r="N8" s="27">
        <f>M8</f>
        <v>0</v>
      </c>
      <c r="O8" s="6"/>
      <c r="P8" s="6"/>
      <c r="Q8" s="17">
        <f t="shared" si="2"/>
        <v>-25000</v>
      </c>
    </row>
    <row r="9" spans="1:17" s="48" customFormat="1" ht="60" x14ac:dyDescent="0.25">
      <c r="A9" s="9">
        <v>18</v>
      </c>
      <c r="B9" s="20">
        <v>100057</v>
      </c>
      <c r="C9" s="55" t="s">
        <v>56</v>
      </c>
      <c r="D9" s="55" t="s">
        <v>57</v>
      </c>
      <c r="E9" s="386">
        <v>3</v>
      </c>
      <c r="F9" s="38" t="s">
        <v>31</v>
      </c>
      <c r="G9" s="121" t="s">
        <v>23</v>
      </c>
      <c r="H9" s="22">
        <v>475000</v>
      </c>
      <c r="I9" s="100">
        <f t="shared" si="0"/>
        <v>475000</v>
      </c>
      <c r="J9" s="22">
        <v>0</v>
      </c>
      <c r="K9" s="27">
        <f>150000</f>
        <v>150000</v>
      </c>
      <c r="L9" s="404">
        <f>150000+225000</f>
        <v>375000</v>
      </c>
      <c r="M9" s="14">
        <f t="shared" si="1"/>
        <v>100000</v>
      </c>
      <c r="N9" s="27">
        <f>50000</f>
        <v>50000</v>
      </c>
      <c r="O9" s="6"/>
      <c r="P9" s="6"/>
      <c r="Q9" s="17">
        <f t="shared" si="2"/>
        <v>-225000</v>
      </c>
    </row>
    <row r="10" spans="1:17" ht="45" x14ac:dyDescent="0.25">
      <c r="A10" s="9">
        <v>20</v>
      </c>
      <c r="B10" s="20">
        <v>100061</v>
      </c>
      <c r="C10" s="55" t="s">
        <v>60</v>
      </c>
      <c r="D10" s="55" t="s">
        <v>61</v>
      </c>
      <c r="E10" s="386">
        <v>3</v>
      </c>
      <c r="F10" s="38" t="s">
        <v>17</v>
      </c>
      <c r="G10" s="126" t="s">
        <v>23</v>
      </c>
      <c r="H10" s="22">
        <v>50000</v>
      </c>
      <c r="I10" s="100">
        <f t="shared" si="0"/>
        <v>50000</v>
      </c>
      <c r="J10" s="22">
        <v>0</v>
      </c>
      <c r="K10" s="27">
        <f>25000+25000</f>
        <v>50000</v>
      </c>
      <c r="L10" s="31">
        <f>25000+25000</f>
        <v>50000</v>
      </c>
      <c r="M10" s="14">
        <f t="shared" si="1"/>
        <v>0</v>
      </c>
      <c r="N10" s="27">
        <f>M10</f>
        <v>0</v>
      </c>
      <c r="Q10" s="17">
        <f t="shared" si="2"/>
        <v>0</v>
      </c>
    </row>
    <row r="11" spans="1:17" ht="60" x14ac:dyDescent="0.25">
      <c r="A11" s="9">
        <v>24</v>
      </c>
      <c r="B11" s="20">
        <v>100068</v>
      </c>
      <c r="C11" s="47" t="s">
        <v>74</v>
      </c>
      <c r="D11" s="60" t="s">
        <v>75</v>
      </c>
      <c r="E11" s="376">
        <v>3</v>
      </c>
      <c r="F11" s="38" t="s">
        <v>17</v>
      </c>
      <c r="G11" s="129" t="s">
        <v>23</v>
      </c>
      <c r="H11" s="22">
        <v>200000</v>
      </c>
      <c r="I11" s="100">
        <f t="shared" si="0"/>
        <v>200000</v>
      </c>
      <c r="J11" s="22">
        <v>0</v>
      </c>
      <c r="K11" s="27">
        <f>100000+100000</f>
        <v>200000</v>
      </c>
      <c r="L11" s="31">
        <f>100000+100000</f>
        <v>200000</v>
      </c>
      <c r="M11" s="14">
        <f t="shared" si="1"/>
        <v>0</v>
      </c>
      <c r="N11" s="27">
        <f>M11</f>
        <v>0</v>
      </c>
      <c r="O11" s="62"/>
      <c r="P11" s="62"/>
      <c r="Q11" s="17">
        <f t="shared" si="2"/>
        <v>0</v>
      </c>
    </row>
    <row r="12" spans="1:17" ht="30" x14ac:dyDescent="0.25">
      <c r="A12" s="9">
        <v>32</v>
      </c>
      <c r="B12" s="20">
        <v>1617100003</v>
      </c>
      <c r="C12" s="20" t="s">
        <v>88</v>
      </c>
      <c r="D12" s="29" t="s">
        <v>89</v>
      </c>
      <c r="E12" s="206">
        <v>3</v>
      </c>
      <c r="F12" s="38" t="s">
        <v>20</v>
      </c>
      <c r="G12" s="88" t="s">
        <v>23</v>
      </c>
      <c r="H12" s="22">
        <v>45085</v>
      </c>
      <c r="I12" s="100">
        <f t="shared" si="0"/>
        <v>45085</v>
      </c>
      <c r="J12" s="22">
        <v>0</v>
      </c>
      <c r="K12" s="27">
        <f>45085</f>
        <v>45085</v>
      </c>
      <c r="L12" s="31">
        <f>45085</f>
        <v>45085</v>
      </c>
      <c r="M12" s="14">
        <f t="shared" si="1"/>
        <v>0</v>
      </c>
      <c r="N12" s="27">
        <f>M12</f>
        <v>0</v>
      </c>
      <c r="O12" s="62"/>
      <c r="P12" s="62"/>
      <c r="Q12" s="17">
        <f t="shared" si="2"/>
        <v>0</v>
      </c>
    </row>
    <row r="13" spans="1:17" ht="75" x14ac:dyDescent="0.25">
      <c r="A13" s="9">
        <v>39</v>
      </c>
      <c r="B13" s="67">
        <v>1617100015</v>
      </c>
      <c r="C13" s="67" t="s">
        <v>103</v>
      </c>
      <c r="D13" s="67" t="s">
        <v>104</v>
      </c>
      <c r="E13" s="353">
        <v>3</v>
      </c>
      <c r="F13" s="38" t="s">
        <v>31</v>
      </c>
      <c r="G13" s="138" t="s">
        <v>23</v>
      </c>
      <c r="H13" s="73">
        <v>50000</v>
      </c>
      <c r="I13" s="100">
        <f t="shared" si="0"/>
        <v>50000</v>
      </c>
      <c r="J13" s="38">
        <v>0</v>
      </c>
      <c r="K13" s="42">
        <f>25000+25000</f>
        <v>50000</v>
      </c>
      <c r="L13" s="43">
        <f>25000+25000</f>
        <v>50000</v>
      </c>
      <c r="M13" s="14">
        <f t="shared" si="1"/>
        <v>0</v>
      </c>
      <c r="N13" s="27">
        <f>M13</f>
        <v>0</v>
      </c>
      <c r="O13" s="62"/>
      <c r="P13" s="62"/>
      <c r="Q13" s="17">
        <f t="shared" si="2"/>
        <v>0</v>
      </c>
    </row>
    <row r="14" spans="1:17" ht="150" x14ac:dyDescent="0.25">
      <c r="A14" s="9">
        <v>40</v>
      </c>
      <c r="B14" s="67">
        <v>1617100017</v>
      </c>
      <c r="C14" s="67" t="s">
        <v>108</v>
      </c>
      <c r="D14" s="67" t="s">
        <v>109</v>
      </c>
      <c r="E14" s="353">
        <v>3</v>
      </c>
      <c r="F14" s="38" t="s">
        <v>20</v>
      </c>
      <c r="G14" s="138" t="s">
        <v>23</v>
      </c>
      <c r="H14" s="68">
        <v>100000</v>
      </c>
      <c r="I14" s="100">
        <f t="shared" si="0"/>
        <v>100000</v>
      </c>
      <c r="J14" s="38">
        <v>0</v>
      </c>
      <c r="K14" s="42">
        <v>90000</v>
      </c>
      <c r="L14" s="43">
        <f>90000</f>
        <v>90000</v>
      </c>
      <c r="M14" s="14">
        <f t="shared" si="1"/>
        <v>10000</v>
      </c>
      <c r="N14" s="27">
        <v>0</v>
      </c>
      <c r="O14" s="66"/>
      <c r="P14" s="66"/>
      <c r="Q14" s="17">
        <f t="shared" si="2"/>
        <v>0</v>
      </c>
    </row>
    <row r="15" spans="1:17" s="57" customFormat="1" ht="75" x14ac:dyDescent="0.25">
      <c r="A15" s="9">
        <v>42</v>
      </c>
      <c r="B15" s="67">
        <v>1617100020</v>
      </c>
      <c r="C15" s="67" t="s">
        <v>115</v>
      </c>
      <c r="D15" s="67" t="s">
        <v>116</v>
      </c>
      <c r="E15" s="353">
        <v>3</v>
      </c>
      <c r="F15" s="42" t="s">
        <v>17</v>
      </c>
      <c r="G15" s="138" t="s">
        <v>23</v>
      </c>
      <c r="H15" s="68">
        <v>5450</v>
      </c>
      <c r="I15" s="100">
        <f t="shared" si="0"/>
        <v>5450</v>
      </c>
      <c r="J15" s="42">
        <v>0</v>
      </c>
      <c r="K15" s="42">
        <v>5450</v>
      </c>
      <c r="L15" s="43">
        <f>5450</f>
        <v>5450</v>
      </c>
      <c r="M15" s="14">
        <f t="shared" si="1"/>
        <v>0</v>
      </c>
      <c r="N15" s="27">
        <f>M15</f>
        <v>0</v>
      </c>
      <c r="O15" s="62"/>
      <c r="P15" s="62"/>
      <c r="Q15" s="17">
        <f t="shared" si="2"/>
        <v>0</v>
      </c>
    </row>
    <row r="16" spans="1:17" ht="90" x14ac:dyDescent="0.25">
      <c r="A16" s="9">
        <v>43</v>
      </c>
      <c r="B16" s="67">
        <v>1617100021</v>
      </c>
      <c r="C16" s="67" t="s">
        <v>117</v>
      </c>
      <c r="D16" s="67" t="s">
        <v>118</v>
      </c>
      <c r="E16" s="353">
        <v>3</v>
      </c>
      <c r="F16" s="38" t="s">
        <v>31</v>
      </c>
      <c r="G16" s="138" t="s">
        <v>23</v>
      </c>
      <c r="H16" s="68">
        <v>400000</v>
      </c>
      <c r="I16" s="100">
        <f t="shared" si="0"/>
        <v>400000</v>
      </c>
      <c r="J16" s="38">
        <v>0</v>
      </c>
      <c r="K16" s="42">
        <v>200000</v>
      </c>
      <c r="L16" s="43">
        <f>200000</f>
        <v>200000</v>
      </c>
      <c r="M16" s="14">
        <f t="shared" si="1"/>
        <v>200000</v>
      </c>
      <c r="N16" s="27">
        <f>M16</f>
        <v>200000</v>
      </c>
      <c r="O16" s="66"/>
      <c r="P16" s="66"/>
      <c r="Q16" s="17">
        <f t="shared" si="2"/>
        <v>0</v>
      </c>
    </row>
    <row r="17" spans="1:21" ht="60" x14ac:dyDescent="0.25">
      <c r="A17" s="9">
        <v>48</v>
      </c>
      <c r="B17" s="79">
        <v>1617100032</v>
      </c>
      <c r="C17" s="75" t="s">
        <v>131</v>
      </c>
      <c r="D17" s="52" t="s">
        <v>132</v>
      </c>
      <c r="E17" s="93">
        <v>3</v>
      </c>
      <c r="F17" s="76" t="s">
        <v>17</v>
      </c>
      <c r="G17" s="134" t="s">
        <v>23</v>
      </c>
      <c r="H17" s="52">
        <v>92480</v>
      </c>
      <c r="I17" s="100">
        <f t="shared" si="0"/>
        <v>92480</v>
      </c>
      <c r="J17" s="42">
        <v>0</v>
      </c>
      <c r="K17" s="42">
        <v>92480</v>
      </c>
      <c r="L17" s="43">
        <f>92480</f>
        <v>92480</v>
      </c>
      <c r="M17" s="14">
        <f t="shared" si="1"/>
        <v>0</v>
      </c>
      <c r="N17" s="27">
        <f>M17</f>
        <v>0</v>
      </c>
      <c r="O17" s="62"/>
      <c r="P17" s="62"/>
      <c r="Q17" s="17">
        <f t="shared" si="2"/>
        <v>0</v>
      </c>
    </row>
    <row r="18" spans="1:21" ht="120" x14ac:dyDescent="0.25">
      <c r="A18" s="9">
        <v>54</v>
      </c>
      <c r="B18" s="82">
        <v>1617100042</v>
      </c>
      <c r="C18" s="82" t="s">
        <v>143</v>
      </c>
      <c r="D18" s="83" t="s">
        <v>144</v>
      </c>
      <c r="E18" s="387">
        <v>3</v>
      </c>
      <c r="F18" s="59" t="s">
        <v>17</v>
      </c>
      <c r="G18" s="133" t="s">
        <v>23</v>
      </c>
      <c r="H18" s="79">
        <v>250000</v>
      </c>
      <c r="I18" s="100">
        <f t="shared" si="0"/>
        <v>250000</v>
      </c>
      <c r="J18" s="59">
        <v>0</v>
      </c>
      <c r="K18" s="59">
        <v>225000</v>
      </c>
      <c r="L18" s="74">
        <v>225000</v>
      </c>
      <c r="M18" s="14">
        <f t="shared" si="1"/>
        <v>25000</v>
      </c>
      <c r="N18" s="27">
        <v>0</v>
      </c>
      <c r="O18" s="66"/>
      <c r="P18" s="66"/>
      <c r="Q18" s="17">
        <f t="shared" si="2"/>
        <v>0</v>
      </c>
    </row>
    <row r="19" spans="1:21" ht="105" x14ac:dyDescent="0.25">
      <c r="A19" s="9">
        <v>81</v>
      </c>
      <c r="B19" s="112">
        <v>1617100028</v>
      </c>
      <c r="C19" s="112" t="s">
        <v>126</v>
      </c>
      <c r="D19" s="112" t="s">
        <v>127</v>
      </c>
      <c r="E19" s="380">
        <v>3</v>
      </c>
      <c r="F19" s="113" t="s">
        <v>17</v>
      </c>
      <c r="G19" s="139" t="s">
        <v>23</v>
      </c>
      <c r="H19" s="114">
        <v>500000</v>
      </c>
      <c r="I19" s="148">
        <f t="shared" si="0"/>
        <v>500000</v>
      </c>
      <c r="J19" s="113">
        <v>0</v>
      </c>
      <c r="K19" s="113">
        <v>0</v>
      </c>
      <c r="L19" s="403">
        <f>100000+139984+120000+139984</f>
        <v>499968</v>
      </c>
      <c r="M19" s="149">
        <f t="shared" si="1"/>
        <v>32</v>
      </c>
      <c r="N19" s="27"/>
      <c r="O19" s="62"/>
      <c r="P19" s="62"/>
      <c r="Q19" s="17">
        <f t="shared" si="2"/>
        <v>-499968</v>
      </c>
      <c r="R19" s="28"/>
      <c r="S19" s="28"/>
      <c r="T19" s="28"/>
      <c r="U19" s="28"/>
    </row>
    <row r="20" spans="1:21" ht="105" x14ac:dyDescent="0.25">
      <c r="A20" s="93">
        <v>47</v>
      </c>
      <c r="B20" s="131">
        <v>1617200010</v>
      </c>
      <c r="C20" s="195" t="s">
        <v>295</v>
      </c>
      <c r="D20" s="190" t="s">
        <v>296</v>
      </c>
      <c r="E20" s="356">
        <v>4</v>
      </c>
      <c r="F20" s="72" t="s">
        <v>17</v>
      </c>
      <c r="G20" s="52" t="s">
        <v>23</v>
      </c>
      <c r="H20" s="72">
        <v>500000</v>
      </c>
      <c r="I20" s="158">
        <f t="shared" si="0"/>
        <v>500000</v>
      </c>
      <c r="J20" s="72">
        <v>0</v>
      </c>
      <c r="K20" s="162">
        <v>250000</v>
      </c>
      <c r="L20" s="413">
        <f>250000+250000</f>
        <v>500000</v>
      </c>
      <c r="M20" s="215">
        <f t="shared" si="1"/>
        <v>0</v>
      </c>
      <c r="N20" s="162">
        <f>M20</f>
        <v>0</v>
      </c>
    </row>
    <row r="21" spans="1:21" ht="30" x14ac:dyDescent="0.25">
      <c r="A21" s="9">
        <v>9</v>
      </c>
      <c r="B21" s="20">
        <v>100032</v>
      </c>
      <c r="C21" s="29" t="s">
        <v>36</v>
      </c>
      <c r="D21" s="29" t="s">
        <v>37</v>
      </c>
      <c r="E21" s="206">
        <v>5</v>
      </c>
      <c r="F21" s="38" t="s">
        <v>31</v>
      </c>
      <c r="G21" s="88" t="s">
        <v>38</v>
      </c>
      <c r="H21" s="25">
        <v>498750</v>
      </c>
      <c r="I21" s="100">
        <f t="shared" si="0"/>
        <v>198750</v>
      </c>
      <c r="J21" s="25">
        <v>300000</v>
      </c>
      <c r="K21" s="44">
        <f>26250+37500</f>
        <v>63750</v>
      </c>
      <c r="L21" s="45">
        <f>26250+37500</f>
        <v>63750</v>
      </c>
      <c r="M21" s="14">
        <f t="shared" si="1"/>
        <v>135000</v>
      </c>
      <c r="N21" s="27">
        <v>0</v>
      </c>
      <c r="O21" s="46"/>
      <c r="Q21" s="17">
        <f t="shared" ref="Q21:Q56" si="3">K21-L21</f>
        <v>0</v>
      </c>
    </row>
    <row r="22" spans="1:21" ht="45" x14ac:dyDescent="0.25">
      <c r="A22" s="9">
        <v>13</v>
      </c>
      <c r="B22" s="20">
        <v>100042</v>
      </c>
      <c r="C22" s="20" t="s">
        <v>45</v>
      </c>
      <c r="D22" s="29" t="s">
        <v>46</v>
      </c>
      <c r="E22" s="206">
        <v>5</v>
      </c>
      <c r="F22" s="38" t="s">
        <v>31</v>
      </c>
      <c r="G22" s="121" t="s">
        <v>38</v>
      </c>
      <c r="H22" s="22">
        <v>221000</v>
      </c>
      <c r="I22" s="100">
        <f t="shared" si="0"/>
        <v>221000</v>
      </c>
      <c r="J22" s="22">
        <v>0</v>
      </c>
      <c r="K22" s="53">
        <f>110500</f>
        <v>110500</v>
      </c>
      <c r="L22" s="54">
        <f>110500</f>
        <v>110500</v>
      </c>
      <c r="M22" s="14">
        <f t="shared" si="1"/>
        <v>110500</v>
      </c>
      <c r="N22" s="27">
        <v>0</v>
      </c>
      <c r="O22" s="46" t="s">
        <v>47</v>
      </c>
      <c r="Q22" s="17">
        <f t="shared" si="3"/>
        <v>0</v>
      </c>
    </row>
    <row r="23" spans="1:21" ht="60" x14ac:dyDescent="0.25">
      <c r="A23" s="9">
        <v>21</v>
      </c>
      <c r="B23" s="39">
        <v>100062</v>
      </c>
      <c r="C23" s="55" t="s">
        <v>62</v>
      </c>
      <c r="D23" s="55" t="s">
        <v>63</v>
      </c>
      <c r="E23" s="386">
        <v>5</v>
      </c>
      <c r="F23" s="42" t="s">
        <v>31</v>
      </c>
      <c r="G23" s="126" t="s">
        <v>38</v>
      </c>
      <c r="H23" s="27">
        <v>167000</v>
      </c>
      <c r="I23" s="100">
        <f t="shared" si="0"/>
        <v>167000</v>
      </c>
      <c r="J23" s="27">
        <v>0</v>
      </c>
      <c r="K23" s="27">
        <f>88750+17000+18000+6500</f>
        <v>130250</v>
      </c>
      <c r="L23" s="31">
        <f>45750+33000+10000+18000+17000+6500</f>
        <v>130250</v>
      </c>
      <c r="M23" s="14">
        <f t="shared" si="1"/>
        <v>36750</v>
      </c>
      <c r="N23" s="27">
        <f>M23</f>
        <v>36750</v>
      </c>
      <c r="Q23" s="17">
        <f t="shared" si="3"/>
        <v>0</v>
      </c>
    </row>
    <row r="24" spans="1:21" s="62" customFormat="1" ht="75" x14ac:dyDescent="0.25">
      <c r="A24" s="9">
        <v>22</v>
      </c>
      <c r="B24" s="39">
        <v>100065</v>
      </c>
      <c r="C24" s="47" t="s">
        <v>67</v>
      </c>
      <c r="D24" s="60" t="s">
        <v>68</v>
      </c>
      <c r="E24" s="376">
        <v>5</v>
      </c>
      <c r="F24" s="22" t="s">
        <v>17</v>
      </c>
      <c r="G24" s="129" t="s">
        <v>38</v>
      </c>
      <c r="H24" s="22">
        <v>451468</v>
      </c>
      <c r="I24" s="100">
        <f t="shared" si="0"/>
        <v>451468</v>
      </c>
      <c r="J24" s="22">
        <v>0</v>
      </c>
      <c r="K24" s="27">
        <v>450000</v>
      </c>
      <c r="L24" s="31">
        <f>450000</f>
        <v>450000</v>
      </c>
      <c r="M24" s="14">
        <f t="shared" si="1"/>
        <v>1468</v>
      </c>
      <c r="N24" s="27">
        <f>M24</f>
        <v>1468</v>
      </c>
      <c r="O24" s="6"/>
      <c r="P24" s="6"/>
      <c r="Q24" s="17">
        <f t="shared" si="3"/>
        <v>0</v>
      </c>
    </row>
    <row r="25" spans="1:21" s="62" customFormat="1" ht="135" x14ac:dyDescent="0.25">
      <c r="A25" s="9">
        <v>35</v>
      </c>
      <c r="B25" s="67">
        <v>1617100009</v>
      </c>
      <c r="C25" s="67" t="s">
        <v>96</v>
      </c>
      <c r="D25" s="67" t="s">
        <v>97</v>
      </c>
      <c r="E25" s="353">
        <v>5</v>
      </c>
      <c r="F25" s="38" t="s">
        <v>20</v>
      </c>
      <c r="G25" s="138" t="s">
        <v>38</v>
      </c>
      <c r="H25" s="73">
        <v>325000</v>
      </c>
      <c r="I25" s="100">
        <f t="shared" si="0"/>
        <v>325000</v>
      </c>
      <c r="J25" s="38">
        <v>0</v>
      </c>
      <c r="K25" s="42">
        <f>50658+62200+206050+4400</f>
        <v>323308</v>
      </c>
      <c r="L25" s="43">
        <f>50658+62200+206050+4400</f>
        <v>323308</v>
      </c>
      <c r="M25" s="14">
        <f t="shared" si="1"/>
        <v>1692</v>
      </c>
      <c r="N25" s="27">
        <f>M25</f>
        <v>1692</v>
      </c>
      <c r="Q25" s="17">
        <f t="shared" si="3"/>
        <v>0</v>
      </c>
    </row>
    <row r="26" spans="1:21" s="62" customFormat="1" ht="30" x14ac:dyDescent="0.25">
      <c r="A26" s="9">
        <v>36</v>
      </c>
      <c r="B26" s="67">
        <v>1617100011</v>
      </c>
      <c r="C26" s="67" t="s">
        <v>98</v>
      </c>
      <c r="D26" s="67" t="s">
        <v>99</v>
      </c>
      <c r="E26" s="353">
        <v>5</v>
      </c>
      <c r="F26" s="38" t="s">
        <v>17</v>
      </c>
      <c r="G26" s="138" t="s">
        <v>38</v>
      </c>
      <c r="H26" s="73">
        <v>200000</v>
      </c>
      <c r="I26" s="100">
        <f t="shared" si="0"/>
        <v>200000</v>
      </c>
      <c r="J26" s="38">
        <v>0</v>
      </c>
      <c r="K26" s="42">
        <v>200000</v>
      </c>
      <c r="L26" s="43">
        <v>200000</v>
      </c>
      <c r="M26" s="14">
        <f t="shared" si="1"/>
        <v>0</v>
      </c>
      <c r="N26" s="27">
        <f>M26</f>
        <v>0</v>
      </c>
      <c r="Q26" s="17">
        <f t="shared" si="3"/>
        <v>0</v>
      </c>
    </row>
    <row r="27" spans="1:21" s="62" customFormat="1" ht="30" x14ac:dyDescent="0.25">
      <c r="A27" s="9">
        <v>41</v>
      </c>
      <c r="B27" s="67">
        <v>1617100018</v>
      </c>
      <c r="C27" s="67" t="s">
        <v>110</v>
      </c>
      <c r="D27" s="67" t="s">
        <v>111</v>
      </c>
      <c r="E27" s="353">
        <v>5</v>
      </c>
      <c r="F27" s="38" t="s">
        <v>112</v>
      </c>
      <c r="G27" s="138" t="s">
        <v>38</v>
      </c>
      <c r="H27" s="73">
        <v>241240</v>
      </c>
      <c r="I27" s="100">
        <f t="shared" si="0"/>
        <v>241240</v>
      </c>
      <c r="J27" s="38">
        <v>0</v>
      </c>
      <c r="K27" s="42">
        <v>240000</v>
      </c>
      <c r="L27" s="43">
        <f>240000</f>
        <v>240000</v>
      </c>
      <c r="M27" s="14">
        <f t="shared" si="1"/>
        <v>1240</v>
      </c>
      <c r="N27" s="27">
        <v>0</v>
      </c>
      <c r="Q27" s="17">
        <f t="shared" si="3"/>
        <v>0</v>
      </c>
    </row>
    <row r="28" spans="1:21" s="62" customFormat="1" ht="75" x14ac:dyDescent="0.25">
      <c r="A28" s="9">
        <v>47</v>
      </c>
      <c r="B28" s="79">
        <v>1617100030</v>
      </c>
      <c r="C28" s="75" t="s">
        <v>128</v>
      </c>
      <c r="D28" s="79" t="s">
        <v>129</v>
      </c>
      <c r="E28" s="167">
        <v>5</v>
      </c>
      <c r="F28" s="76" t="s">
        <v>31</v>
      </c>
      <c r="G28" s="134" t="s">
        <v>38</v>
      </c>
      <c r="H28" s="59">
        <v>300000</v>
      </c>
      <c r="I28" s="100">
        <f t="shared" si="0"/>
        <v>300000</v>
      </c>
      <c r="J28" s="76">
        <v>0</v>
      </c>
      <c r="K28" s="76">
        <v>180000</v>
      </c>
      <c r="L28" s="77">
        <f>180000</f>
        <v>180000</v>
      </c>
      <c r="M28" s="14">
        <f t="shared" si="1"/>
        <v>120000</v>
      </c>
      <c r="N28" s="27">
        <f>M28</f>
        <v>120000</v>
      </c>
      <c r="O28" s="63" t="s">
        <v>130</v>
      </c>
      <c r="Q28" s="17">
        <f t="shared" si="3"/>
        <v>0</v>
      </c>
    </row>
    <row r="29" spans="1:21" s="62" customFormat="1" ht="45" x14ac:dyDescent="0.25">
      <c r="A29" s="9">
        <v>10</v>
      </c>
      <c r="B29" s="29">
        <v>100035</v>
      </c>
      <c r="C29" s="29" t="s">
        <v>39</v>
      </c>
      <c r="D29" s="47" t="s">
        <v>40</v>
      </c>
      <c r="E29" s="377">
        <v>6</v>
      </c>
      <c r="F29" s="38" t="s">
        <v>17</v>
      </c>
      <c r="G29" s="125" t="s">
        <v>26</v>
      </c>
      <c r="H29" s="23">
        <v>478000</v>
      </c>
      <c r="I29" s="100">
        <f t="shared" si="0"/>
        <v>328000</v>
      </c>
      <c r="J29" s="22">
        <v>150000</v>
      </c>
      <c r="K29" s="27">
        <f>150000+150000</f>
        <v>300000</v>
      </c>
      <c r="L29" s="404">
        <f>150000+150000+28000</f>
        <v>328000</v>
      </c>
      <c r="M29" s="14">
        <f t="shared" si="1"/>
        <v>0</v>
      </c>
      <c r="N29" s="27">
        <f>M29</f>
        <v>0</v>
      </c>
      <c r="O29" s="48"/>
      <c r="P29" s="48"/>
      <c r="Q29" s="17">
        <f t="shared" si="3"/>
        <v>-28000</v>
      </c>
    </row>
    <row r="30" spans="1:21" s="62" customFormat="1" ht="75" x14ac:dyDescent="0.25">
      <c r="A30" s="9">
        <v>55</v>
      </c>
      <c r="B30" s="82">
        <v>1617100044</v>
      </c>
      <c r="C30" s="75" t="s">
        <v>147</v>
      </c>
      <c r="D30" s="75" t="s">
        <v>148</v>
      </c>
      <c r="E30" s="358">
        <v>6</v>
      </c>
      <c r="F30" s="59" t="s">
        <v>17</v>
      </c>
      <c r="G30" s="133" t="s">
        <v>26</v>
      </c>
      <c r="H30" s="79">
        <v>25000</v>
      </c>
      <c r="I30" s="100">
        <f t="shared" si="0"/>
        <v>25000</v>
      </c>
      <c r="J30" s="59">
        <v>0</v>
      </c>
      <c r="K30" s="59">
        <v>25000</v>
      </c>
      <c r="L30" s="74">
        <f>25000</f>
        <v>25000</v>
      </c>
      <c r="M30" s="14">
        <f t="shared" si="1"/>
        <v>0</v>
      </c>
      <c r="N30" s="27">
        <f>M30</f>
        <v>0</v>
      </c>
      <c r="O30" s="66"/>
      <c r="P30" s="66"/>
      <c r="Q30" s="17">
        <f t="shared" si="3"/>
        <v>0</v>
      </c>
    </row>
    <row r="31" spans="1:21" s="62" customFormat="1" ht="15" x14ac:dyDescent="0.25">
      <c r="A31" s="9">
        <v>52</v>
      </c>
      <c r="B31" s="79">
        <v>100069</v>
      </c>
      <c r="C31" s="80" t="s">
        <v>140</v>
      </c>
      <c r="D31" s="58" t="s">
        <v>141</v>
      </c>
      <c r="E31" s="378">
        <v>6</v>
      </c>
      <c r="F31" s="59" t="s">
        <v>31</v>
      </c>
      <c r="G31" s="133" t="s">
        <v>26</v>
      </c>
      <c r="H31" s="81">
        <v>3000000</v>
      </c>
      <c r="I31" s="100">
        <f t="shared" si="0"/>
        <v>3000000</v>
      </c>
      <c r="J31" s="59">
        <v>0</v>
      </c>
      <c r="K31" s="59"/>
      <c r="L31" s="406">
        <f>1200000+750000</f>
        <v>1950000</v>
      </c>
      <c r="M31" s="14">
        <f t="shared" si="1"/>
        <v>1050000</v>
      </c>
      <c r="N31" s="27"/>
      <c r="O31" s="66"/>
      <c r="P31" s="66"/>
      <c r="Q31" s="17">
        <f t="shared" si="3"/>
        <v>-1950000</v>
      </c>
    </row>
    <row r="32" spans="1:21" s="62" customFormat="1" ht="75" x14ac:dyDescent="0.25">
      <c r="A32" s="9">
        <v>53</v>
      </c>
      <c r="B32" s="82">
        <v>1617100041</v>
      </c>
      <c r="C32" s="82" t="s">
        <v>140</v>
      </c>
      <c r="D32" s="80" t="s">
        <v>142</v>
      </c>
      <c r="E32" s="378">
        <v>6</v>
      </c>
      <c r="F32" s="59" t="s">
        <v>17</v>
      </c>
      <c r="G32" s="133" t="s">
        <v>26</v>
      </c>
      <c r="H32" s="79">
        <v>388367</v>
      </c>
      <c r="I32" s="100">
        <f t="shared" si="0"/>
        <v>388367</v>
      </c>
      <c r="J32" s="59">
        <v>0</v>
      </c>
      <c r="K32" s="59">
        <v>388367</v>
      </c>
      <c r="L32" s="74">
        <v>388367</v>
      </c>
      <c r="M32" s="14">
        <f t="shared" si="1"/>
        <v>0</v>
      </c>
      <c r="N32" s="27">
        <f>M32</f>
        <v>0</v>
      </c>
      <c r="O32" s="66"/>
      <c r="P32" s="66"/>
      <c r="Q32" s="17">
        <f t="shared" si="3"/>
        <v>0</v>
      </c>
    </row>
    <row r="33" spans="1:17" s="62" customFormat="1" ht="75" x14ac:dyDescent="0.25">
      <c r="A33" s="9">
        <v>15</v>
      </c>
      <c r="B33" s="20">
        <v>100053</v>
      </c>
      <c r="C33" s="29" t="s">
        <v>50</v>
      </c>
      <c r="D33" s="21" t="s">
        <v>51</v>
      </c>
      <c r="E33" s="378">
        <v>6</v>
      </c>
      <c r="F33" s="38" t="s">
        <v>31</v>
      </c>
      <c r="G33" s="122" t="s">
        <v>26</v>
      </c>
      <c r="H33" s="22">
        <v>1032000</v>
      </c>
      <c r="I33" s="100">
        <f t="shared" si="0"/>
        <v>1032000</v>
      </c>
      <c r="J33" s="22">
        <v>0</v>
      </c>
      <c r="K33" s="27">
        <f>500000</f>
        <v>500000</v>
      </c>
      <c r="L33" s="404">
        <f>500000+133000+349000</f>
        <v>982000</v>
      </c>
      <c r="M33" s="14">
        <f t="shared" si="1"/>
        <v>50000</v>
      </c>
      <c r="N33" s="27">
        <v>0</v>
      </c>
      <c r="O33" s="6"/>
      <c r="P33" s="6"/>
      <c r="Q33" s="17">
        <f t="shared" si="3"/>
        <v>-482000</v>
      </c>
    </row>
    <row r="34" spans="1:17" s="62" customFormat="1" ht="45" x14ac:dyDescent="0.25">
      <c r="A34" s="9">
        <v>70</v>
      </c>
      <c r="B34" s="20">
        <v>100031</v>
      </c>
      <c r="C34" s="20" t="s">
        <v>181</v>
      </c>
      <c r="D34" s="29" t="s">
        <v>182</v>
      </c>
      <c r="E34" s="378">
        <v>6</v>
      </c>
      <c r="F34" s="38" t="s">
        <v>31</v>
      </c>
      <c r="G34" s="88" t="s">
        <v>26</v>
      </c>
      <c r="H34" s="22">
        <v>6040000</v>
      </c>
      <c r="I34" s="100">
        <f t="shared" si="0"/>
        <v>1510000</v>
      </c>
      <c r="J34" s="22">
        <v>4530000</v>
      </c>
      <c r="K34" s="27">
        <f>960000</f>
        <v>960000</v>
      </c>
      <c r="L34" s="31">
        <v>906000</v>
      </c>
      <c r="M34" s="14">
        <f t="shared" si="1"/>
        <v>604000</v>
      </c>
      <c r="N34" s="27">
        <v>0</v>
      </c>
      <c r="O34" s="28"/>
      <c r="P34" s="28"/>
      <c r="Q34" s="17">
        <f t="shared" si="3"/>
        <v>54000</v>
      </c>
    </row>
    <row r="35" spans="1:17" s="62" customFormat="1" ht="30" x14ac:dyDescent="0.25">
      <c r="A35" s="9">
        <v>71</v>
      </c>
      <c r="B35" s="20" t="s">
        <v>183</v>
      </c>
      <c r="C35" s="20" t="s">
        <v>184</v>
      </c>
      <c r="D35" s="29" t="s">
        <v>185</v>
      </c>
      <c r="E35" s="378">
        <v>6</v>
      </c>
      <c r="F35" s="38" t="s">
        <v>31</v>
      </c>
      <c r="G35" s="88" t="s">
        <v>186</v>
      </c>
      <c r="H35" s="22">
        <v>12340000</v>
      </c>
      <c r="I35" s="100">
        <f t="shared" si="0"/>
        <v>12340000</v>
      </c>
      <c r="J35" s="22">
        <v>0</v>
      </c>
      <c r="K35" s="27">
        <f>1234000+4936000</f>
        <v>6170000</v>
      </c>
      <c r="L35" s="31">
        <f>1234000+4936000</f>
        <v>6170000</v>
      </c>
      <c r="M35" s="14">
        <f t="shared" si="1"/>
        <v>6170000</v>
      </c>
      <c r="N35" s="27">
        <v>0</v>
      </c>
      <c r="O35" s="66"/>
      <c r="P35" s="66"/>
      <c r="Q35" s="17">
        <f t="shared" si="3"/>
        <v>0</v>
      </c>
    </row>
    <row r="36" spans="1:17" s="62" customFormat="1" ht="30" x14ac:dyDescent="0.25">
      <c r="A36" s="9">
        <v>72</v>
      </c>
      <c r="B36" s="20" t="s">
        <v>187</v>
      </c>
      <c r="C36" s="20" t="s">
        <v>181</v>
      </c>
      <c r="D36" s="29" t="s">
        <v>188</v>
      </c>
      <c r="E36" s="378">
        <v>6</v>
      </c>
      <c r="F36" s="22" t="s">
        <v>17</v>
      </c>
      <c r="G36" s="88" t="s">
        <v>26</v>
      </c>
      <c r="H36" s="22">
        <v>1500000</v>
      </c>
      <c r="I36" s="100">
        <f t="shared" si="0"/>
        <v>1500000</v>
      </c>
      <c r="J36" s="22">
        <v>0</v>
      </c>
      <c r="K36" s="27">
        <f>1500000</f>
        <v>1500000</v>
      </c>
      <c r="L36" s="31">
        <f>1500000</f>
        <v>1500000</v>
      </c>
      <c r="M36" s="14">
        <f t="shared" ref="M36:M56" si="4">H36-(J36+L36)</f>
        <v>0</v>
      </c>
      <c r="N36" s="27">
        <f>M36</f>
        <v>0</v>
      </c>
      <c r="O36" s="50"/>
      <c r="P36" s="50"/>
      <c r="Q36" s="17">
        <f t="shared" si="3"/>
        <v>0</v>
      </c>
    </row>
    <row r="37" spans="1:17" s="62" customFormat="1" ht="45" x14ac:dyDescent="0.25">
      <c r="A37" s="9">
        <v>75</v>
      </c>
      <c r="B37" s="29" t="s">
        <v>194</v>
      </c>
      <c r="C37" s="20" t="s">
        <v>176</v>
      </c>
      <c r="D37" s="29" t="s">
        <v>195</v>
      </c>
      <c r="E37" s="378">
        <v>6</v>
      </c>
      <c r="F37" s="38" t="s">
        <v>20</v>
      </c>
      <c r="G37" s="121" t="s">
        <v>26</v>
      </c>
      <c r="H37" s="22">
        <v>15430</v>
      </c>
      <c r="I37" s="100">
        <f t="shared" si="0"/>
        <v>15430</v>
      </c>
      <c r="J37" s="22">
        <v>0</v>
      </c>
      <c r="K37" s="22">
        <v>15430</v>
      </c>
      <c r="L37" s="31">
        <v>15430</v>
      </c>
      <c r="M37" s="14">
        <f t="shared" si="4"/>
        <v>0</v>
      </c>
      <c r="N37" s="27">
        <v>0</v>
      </c>
      <c r="O37" s="6"/>
      <c r="P37" s="6"/>
      <c r="Q37" s="17">
        <f t="shared" si="3"/>
        <v>0</v>
      </c>
    </row>
    <row r="38" spans="1:17" s="62" customFormat="1" ht="30" x14ac:dyDescent="0.25">
      <c r="A38" s="9">
        <v>74</v>
      </c>
      <c r="B38" s="20" t="s">
        <v>192</v>
      </c>
      <c r="C38" s="20" t="s">
        <v>181</v>
      </c>
      <c r="D38" s="29" t="s">
        <v>193</v>
      </c>
      <c r="E38" s="378">
        <v>6</v>
      </c>
      <c r="F38" s="38" t="s">
        <v>31</v>
      </c>
      <c r="G38" s="88" t="s">
        <v>26</v>
      </c>
      <c r="H38" s="22">
        <v>2500000</v>
      </c>
      <c r="I38" s="100">
        <f t="shared" si="0"/>
        <v>2500000</v>
      </c>
      <c r="J38" s="22">
        <v>0</v>
      </c>
      <c r="K38" s="27">
        <v>1250000</v>
      </c>
      <c r="L38" s="31">
        <f>1250000</f>
        <v>1250000</v>
      </c>
      <c r="M38" s="14">
        <f t="shared" si="4"/>
        <v>1250000</v>
      </c>
      <c r="N38" s="27">
        <v>0</v>
      </c>
      <c r="O38" s="6"/>
      <c r="P38" s="6"/>
      <c r="Q38" s="17">
        <f t="shared" si="3"/>
        <v>0</v>
      </c>
    </row>
    <row r="39" spans="1:17" s="66" customFormat="1" ht="60" x14ac:dyDescent="0.25">
      <c r="A39" s="9">
        <v>5</v>
      </c>
      <c r="B39" s="32">
        <v>100022</v>
      </c>
      <c r="C39" s="33" t="s">
        <v>27</v>
      </c>
      <c r="D39" s="34" t="s">
        <v>28</v>
      </c>
      <c r="E39" s="378">
        <v>6</v>
      </c>
      <c r="F39" s="35" t="s">
        <v>17</v>
      </c>
      <c r="G39" s="123" t="s">
        <v>26</v>
      </c>
      <c r="H39" s="36">
        <v>470000</v>
      </c>
      <c r="I39" s="100">
        <f t="shared" si="0"/>
        <v>310000</v>
      </c>
      <c r="J39" s="25">
        <v>160000</v>
      </c>
      <c r="K39" s="25">
        <f>160000+150000</f>
        <v>310000</v>
      </c>
      <c r="L39" s="26">
        <f>160000+150000</f>
        <v>310000</v>
      </c>
      <c r="M39" s="14">
        <f t="shared" si="4"/>
        <v>0</v>
      </c>
      <c r="N39" s="27">
        <f>M39</f>
        <v>0</v>
      </c>
      <c r="O39" s="28"/>
      <c r="P39" s="37"/>
      <c r="Q39" s="17">
        <f t="shared" si="3"/>
        <v>0</v>
      </c>
    </row>
    <row r="40" spans="1:17" s="62" customFormat="1" ht="75" x14ac:dyDescent="0.25">
      <c r="A40" s="9">
        <v>11</v>
      </c>
      <c r="B40" s="29">
        <v>100037</v>
      </c>
      <c r="C40" s="30" t="s">
        <v>41</v>
      </c>
      <c r="D40" s="47" t="s">
        <v>42</v>
      </c>
      <c r="E40" s="378">
        <v>6</v>
      </c>
      <c r="F40" s="38" t="s">
        <v>31</v>
      </c>
      <c r="G40" s="125" t="s">
        <v>26</v>
      </c>
      <c r="H40" s="49">
        <v>497400</v>
      </c>
      <c r="I40" s="100">
        <f t="shared" si="0"/>
        <v>497400</v>
      </c>
      <c r="J40" s="22">
        <v>0</v>
      </c>
      <c r="K40" s="27">
        <f>271480+78689</f>
        <v>350169</v>
      </c>
      <c r="L40" s="31">
        <f>271480+78689</f>
        <v>350169</v>
      </c>
      <c r="M40" s="14">
        <f t="shared" si="4"/>
        <v>147231</v>
      </c>
      <c r="N40" s="27">
        <f>M40/2</f>
        <v>73615.5</v>
      </c>
      <c r="O40" s="50"/>
      <c r="P40" s="48"/>
      <c r="Q40" s="17">
        <f t="shared" si="3"/>
        <v>0</v>
      </c>
    </row>
    <row r="41" spans="1:17" s="62" customFormat="1" ht="60" x14ac:dyDescent="0.25">
      <c r="A41" s="9">
        <v>51</v>
      </c>
      <c r="B41" s="79">
        <v>1617100037</v>
      </c>
      <c r="C41" s="80" t="s">
        <v>138</v>
      </c>
      <c r="D41" s="79" t="s">
        <v>139</v>
      </c>
      <c r="E41" s="378">
        <v>6</v>
      </c>
      <c r="F41" s="59" t="s">
        <v>31</v>
      </c>
      <c r="G41" s="133" t="s">
        <v>26</v>
      </c>
      <c r="H41" s="79">
        <v>467752</v>
      </c>
      <c r="I41" s="100">
        <f t="shared" si="0"/>
        <v>467752</v>
      </c>
      <c r="J41" s="59">
        <v>0</v>
      </c>
      <c r="K41" s="59">
        <v>0</v>
      </c>
      <c r="L41" s="74">
        <v>234000</v>
      </c>
      <c r="M41" s="14">
        <f t="shared" si="4"/>
        <v>233752</v>
      </c>
      <c r="N41" s="27">
        <f>M41/2</f>
        <v>116876</v>
      </c>
      <c r="O41" s="66"/>
      <c r="P41" s="66"/>
      <c r="Q41" s="17">
        <f t="shared" si="3"/>
        <v>-234000</v>
      </c>
    </row>
    <row r="42" spans="1:17" s="62" customFormat="1" ht="105" x14ac:dyDescent="0.25">
      <c r="A42" s="9">
        <v>12</v>
      </c>
      <c r="B42" s="20">
        <v>100040</v>
      </c>
      <c r="C42" s="51" t="s">
        <v>43</v>
      </c>
      <c r="D42" s="21" t="s">
        <v>44</v>
      </c>
      <c r="E42" s="375">
        <v>7</v>
      </c>
      <c r="F42" s="38" t="s">
        <v>31</v>
      </c>
      <c r="G42" s="122" t="s">
        <v>26</v>
      </c>
      <c r="H42" s="22">
        <v>500000</v>
      </c>
      <c r="I42" s="100">
        <f t="shared" si="0"/>
        <v>500000</v>
      </c>
      <c r="J42" s="22">
        <v>0</v>
      </c>
      <c r="K42" s="27">
        <v>250000</v>
      </c>
      <c r="L42" s="31">
        <f>50000*5</f>
        <v>250000</v>
      </c>
      <c r="M42" s="14">
        <f t="shared" si="4"/>
        <v>250000</v>
      </c>
      <c r="N42" s="27">
        <v>0</v>
      </c>
      <c r="O42" s="6"/>
      <c r="P42" s="6"/>
      <c r="Q42" s="17">
        <f t="shared" si="3"/>
        <v>0</v>
      </c>
    </row>
    <row r="43" spans="1:17" s="66" customFormat="1" ht="225" x14ac:dyDescent="0.25">
      <c r="A43" s="9">
        <v>14</v>
      </c>
      <c r="B43" s="20">
        <v>100051</v>
      </c>
      <c r="C43" s="29" t="s">
        <v>48</v>
      </c>
      <c r="D43" s="21" t="s">
        <v>49</v>
      </c>
      <c r="E43" s="375">
        <v>7</v>
      </c>
      <c r="F43" s="38" t="s">
        <v>17</v>
      </c>
      <c r="G43" s="122" t="s">
        <v>26</v>
      </c>
      <c r="H43" s="25">
        <v>475000</v>
      </c>
      <c r="I43" s="100">
        <f t="shared" si="0"/>
        <v>475000</v>
      </c>
      <c r="J43" s="22">
        <v>0</v>
      </c>
      <c r="K43" s="27">
        <f>158000+105000+105000+107000</f>
        <v>475000</v>
      </c>
      <c r="L43" s="31">
        <f>158000+105000+105000+107000</f>
        <v>475000</v>
      </c>
      <c r="M43" s="14">
        <f t="shared" si="4"/>
        <v>0</v>
      </c>
      <c r="N43" s="27">
        <f>M43</f>
        <v>0</v>
      </c>
      <c r="O43" s="6"/>
      <c r="P43" s="6"/>
      <c r="Q43" s="17">
        <f t="shared" si="3"/>
        <v>0</v>
      </c>
    </row>
    <row r="44" spans="1:17" s="62" customFormat="1" ht="60" x14ac:dyDescent="0.25">
      <c r="A44" s="9">
        <v>33</v>
      </c>
      <c r="B44" s="72">
        <v>1617100007</v>
      </c>
      <c r="C44" s="65" t="s">
        <v>92</v>
      </c>
      <c r="D44" s="40" t="s">
        <v>93</v>
      </c>
      <c r="E44" s="342">
        <v>7</v>
      </c>
      <c r="F44" s="38" t="s">
        <v>17</v>
      </c>
      <c r="G44" s="131" t="s">
        <v>26</v>
      </c>
      <c r="H44" s="38">
        <v>70000</v>
      </c>
      <c r="I44" s="100">
        <f t="shared" si="0"/>
        <v>70000</v>
      </c>
      <c r="J44" s="38">
        <v>0</v>
      </c>
      <c r="K44" s="42">
        <f>35000+ 35000</f>
        <v>70000</v>
      </c>
      <c r="L44" s="43">
        <f>35000+35000</f>
        <v>70000</v>
      </c>
      <c r="M44" s="14">
        <f t="shared" si="4"/>
        <v>0</v>
      </c>
      <c r="N44" s="27">
        <f>M44</f>
        <v>0</v>
      </c>
      <c r="Q44" s="17">
        <f t="shared" si="3"/>
        <v>0</v>
      </c>
    </row>
    <row r="45" spans="1:17" s="62" customFormat="1" ht="38.25" x14ac:dyDescent="0.25">
      <c r="A45" s="9">
        <v>38</v>
      </c>
      <c r="B45" s="64">
        <v>1617100014</v>
      </c>
      <c r="C45" s="78" t="s">
        <v>101</v>
      </c>
      <c r="D45" s="99" t="s">
        <v>102</v>
      </c>
      <c r="E45" s="388">
        <v>7</v>
      </c>
      <c r="F45" s="59" t="s">
        <v>31</v>
      </c>
      <c r="G45" s="133" t="s">
        <v>26</v>
      </c>
      <c r="H45" s="59">
        <v>120000</v>
      </c>
      <c r="I45" s="100">
        <f t="shared" si="0"/>
        <v>120000</v>
      </c>
      <c r="J45" s="59">
        <v>0</v>
      </c>
      <c r="K45" s="59">
        <v>40000</v>
      </c>
      <c r="L45" s="406">
        <f>40000+60000</f>
        <v>100000</v>
      </c>
      <c r="M45" s="14">
        <f t="shared" si="4"/>
        <v>20000</v>
      </c>
      <c r="N45" s="27">
        <v>0</v>
      </c>
      <c r="Q45" s="17">
        <f t="shared" si="3"/>
        <v>-60000</v>
      </c>
    </row>
    <row r="46" spans="1:17" s="62" customFormat="1" ht="178.5" x14ac:dyDescent="0.25">
      <c r="A46" s="9">
        <v>44</v>
      </c>
      <c r="B46" s="64">
        <v>1617100022</v>
      </c>
      <c r="C46" s="78" t="s">
        <v>48</v>
      </c>
      <c r="D46" s="99" t="s">
        <v>119</v>
      </c>
      <c r="E46" s="388">
        <v>7</v>
      </c>
      <c r="F46" s="59" t="s">
        <v>31</v>
      </c>
      <c r="G46" s="133" t="s">
        <v>26</v>
      </c>
      <c r="H46" s="59">
        <v>460000</v>
      </c>
      <c r="I46" s="100">
        <f t="shared" si="0"/>
        <v>460000</v>
      </c>
      <c r="J46" s="59">
        <v>0</v>
      </c>
      <c r="K46" s="59">
        <f>115000</f>
        <v>115000</v>
      </c>
      <c r="L46" s="406">
        <f>115000+230000</f>
        <v>345000</v>
      </c>
      <c r="M46" s="14">
        <f t="shared" si="4"/>
        <v>115000</v>
      </c>
      <c r="N46" s="27">
        <v>115000</v>
      </c>
      <c r="Q46" s="17">
        <f t="shared" si="3"/>
        <v>-230000</v>
      </c>
    </row>
    <row r="47" spans="1:17" s="62" customFormat="1" ht="120" x14ac:dyDescent="0.25">
      <c r="A47" s="9">
        <v>45</v>
      </c>
      <c r="B47" s="67">
        <v>1617100023</v>
      </c>
      <c r="C47" s="67" t="s">
        <v>120</v>
      </c>
      <c r="D47" s="67" t="s">
        <v>121</v>
      </c>
      <c r="E47" s="353">
        <v>7</v>
      </c>
      <c r="F47" s="42" t="s">
        <v>31</v>
      </c>
      <c r="G47" s="138" t="s">
        <v>26</v>
      </c>
      <c r="H47" s="68">
        <v>498750</v>
      </c>
      <c r="I47" s="100">
        <f t="shared" si="0"/>
        <v>498750</v>
      </c>
      <c r="J47" s="42">
        <v>0</v>
      </c>
      <c r="K47" s="42">
        <v>150000</v>
      </c>
      <c r="L47" s="43">
        <f>150000</f>
        <v>150000</v>
      </c>
      <c r="M47" s="14">
        <f t="shared" si="4"/>
        <v>348750</v>
      </c>
      <c r="N47" s="27">
        <v>100000</v>
      </c>
      <c r="Q47" s="17">
        <f t="shared" si="3"/>
        <v>0</v>
      </c>
    </row>
    <row r="48" spans="1:17" s="62" customFormat="1" ht="76.5" x14ac:dyDescent="0.25">
      <c r="A48" s="9">
        <v>46</v>
      </c>
      <c r="B48" s="64">
        <v>1617100026</v>
      </c>
      <c r="C48" s="78" t="s">
        <v>124</v>
      </c>
      <c r="D48" s="99" t="s">
        <v>125</v>
      </c>
      <c r="E48" s="388">
        <v>7</v>
      </c>
      <c r="F48" s="59" t="s">
        <v>31</v>
      </c>
      <c r="G48" s="133" t="s">
        <v>26</v>
      </c>
      <c r="H48" s="59">
        <v>290000</v>
      </c>
      <c r="I48" s="100">
        <f t="shared" si="0"/>
        <v>290000</v>
      </c>
      <c r="J48" s="59">
        <v>0</v>
      </c>
      <c r="K48" s="59">
        <f>80000+60000</f>
        <v>140000</v>
      </c>
      <c r="L48" s="406">
        <f>80000+60000+70000</f>
        <v>210000</v>
      </c>
      <c r="M48" s="14">
        <f t="shared" si="4"/>
        <v>80000</v>
      </c>
      <c r="N48" s="27">
        <v>0</v>
      </c>
      <c r="Q48" s="17">
        <f t="shared" si="3"/>
        <v>-70000</v>
      </c>
    </row>
    <row r="49" spans="1:37" s="62" customFormat="1" ht="30" x14ac:dyDescent="0.25">
      <c r="A49" s="9">
        <v>77</v>
      </c>
      <c r="B49" s="88" t="s">
        <v>197</v>
      </c>
      <c r="C49" s="20"/>
      <c r="D49" s="30" t="s">
        <v>198</v>
      </c>
      <c r="E49" s="342">
        <v>7</v>
      </c>
      <c r="F49" s="38" t="s">
        <v>31</v>
      </c>
      <c r="G49" s="88" t="s">
        <v>26</v>
      </c>
      <c r="H49" s="22">
        <v>7467500</v>
      </c>
      <c r="I49" s="100">
        <v>7197000</v>
      </c>
      <c r="J49" s="22">
        <v>0</v>
      </c>
      <c r="K49" s="22">
        <v>2005000</v>
      </c>
      <c r="L49" s="404">
        <v>2435000</v>
      </c>
      <c r="M49" s="14">
        <f t="shared" si="4"/>
        <v>5032500</v>
      </c>
      <c r="N49" s="22">
        <v>300000</v>
      </c>
      <c r="O49" s="6"/>
      <c r="P49" s="6"/>
      <c r="Q49" s="17">
        <f t="shared" si="3"/>
        <v>-430000</v>
      </c>
    </row>
    <row r="50" spans="1:37" s="62" customFormat="1" ht="30" x14ac:dyDescent="0.25">
      <c r="A50" s="9">
        <v>4</v>
      </c>
      <c r="B50" s="20">
        <v>100021</v>
      </c>
      <c r="C50" s="20" t="s">
        <v>24</v>
      </c>
      <c r="D50" s="29" t="s">
        <v>25</v>
      </c>
      <c r="E50" s="206">
        <v>8</v>
      </c>
      <c r="F50" s="22" t="s">
        <v>17</v>
      </c>
      <c r="G50" s="88" t="s">
        <v>26</v>
      </c>
      <c r="H50" s="22">
        <v>125000</v>
      </c>
      <c r="I50" s="100">
        <f t="shared" ref="I50:I56" si="5">H50-J50</f>
        <v>40000</v>
      </c>
      <c r="J50" s="22">
        <v>85000</v>
      </c>
      <c r="K50" s="27">
        <v>40000</v>
      </c>
      <c r="L50" s="31">
        <v>40000</v>
      </c>
      <c r="M50" s="14">
        <f t="shared" si="4"/>
        <v>0</v>
      </c>
      <c r="N50" s="27">
        <f t="shared" ref="N50:N56" si="6">M50</f>
        <v>0</v>
      </c>
      <c r="O50" s="28"/>
      <c r="P50" s="28"/>
      <c r="Q50" s="17">
        <f t="shared" si="3"/>
        <v>0</v>
      </c>
    </row>
    <row r="51" spans="1:37" s="62" customFormat="1" ht="45" x14ac:dyDescent="0.25">
      <c r="A51" s="9">
        <v>17</v>
      </c>
      <c r="B51" s="39">
        <v>100056</v>
      </c>
      <c r="C51" s="55" t="s">
        <v>54</v>
      </c>
      <c r="D51" s="55" t="s">
        <v>55</v>
      </c>
      <c r="E51" s="386">
        <v>8</v>
      </c>
      <c r="F51" s="42" t="s">
        <v>31</v>
      </c>
      <c r="G51" s="126" t="s">
        <v>26</v>
      </c>
      <c r="H51" s="27">
        <v>144750</v>
      </c>
      <c r="I51" s="100">
        <f t="shared" si="5"/>
        <v>144750</v>
      </c>
      <c r="J51" s="27">
        <v>0</v>
      </c>
      <c r="K51" s="56">
        <f>68625</f>
        <v>68625</v>
      </c>
      <c r="L51" s="31">
        <v>68625</v>
      </c>
      <c r="M51" s="14">
        <f t="shared" si="4"/>
        <v>76125</v>
      </c>
      <c r="N51" s="27">
        <f t="shared" si="6"/>
        <v>76125</v>
      </c>
      <c r="O51" s="57"/>
      <c r="P51" s="57"/>
      <c r="Q51" s="17">
        <f t="shared" si="3"/>
        <v>0</v>
      </c>
    </row>
    <row r="52" spans="1:37" s="62" customFormat="1" ht="45" x14ac:dyDescent="0.25">
      <c r="A52" s="9">
        <v>25</v>
      </c>
      <c r="B52" s="20">
        <v>100070</v>
      </c>
      <c r="C52" s="29" t="s">
        <v>76</v>
      </c>
      <c r="D52" s="60" t="s">
        <v>77</v>
      </c>
      <c r="E52" s="376">
        <v>8</v>
      </c>
      <c r="F52" s="22" t="s">
        <v>17</v>
      </c>
      <c r="G52" s="129" t="s">
        <v>26</v>
      </c>
      <c r="H52" s="22">
        <v>48000</v>
      </c>
      <c r="I52" s="100">
        <f t="shared" si="5"/>
        <v>48000</v>
      </c>
      <c r="J52" s="22">
        <v>0</v>
      </c>
      <c r="K52" s="27">
        <f>48000</f>
        <v>48000</v>
      </c>
      <c r="L52" s="31">
        <f>48000</f>
        <v>48000</v>
      </c>
      <c r="M52" s="14">
        <f t="shared" si="4"/>
        <v>0</v>
      </c>
      <c r="N52" s="27">
        <f t="shared" si="6"/>
        <v>0</v>
      </c>
      <c r="Q52" s="17">
        <f t="shared" si="3"/>
        <v>0</v>
      </c>
    </row>
    <row r="53" spans="1:37" s="66" customFormat="1" ht="30" x14ac:dyDescent="0.25">
      <c r="A53" s="9">
        <v>26</v>
      </c>
      <c r="B53" s="20">
        <v>100071</v>
      </c>
      <c r="C53" s="20" t="s">
        <v>78</v>
      </c>
      <c r="D53" s="29" t="s">
        <v>79</v>
      </c>
      <c r="E53" s="206">
        <v>8</v>
      </c>
      <c r="F53" s="38" t="s">
        <v>20</v>
      </c>
      <c r="G53" s="88" t="s">
        <v>26</v>
      </c>
      <c r="H53" s="22">
        <v>68600</v>
      </c>
      <c r="I53" s="100">
        <f t="shared" si="5"/>
        <v>68600</v>
      </c>
      <c r="J53" s="22">
        <v>0</v>
      </c>
      <c r="K53" s="27">
        <v>68600</v>
      </c>
      <c r="L53" s="31">
        <v>68600</v>
      </c>
      <c r="M53" s="14">
        <f t="shared" si="4"/>
        <v>0</v>
      </c>
      <c r="N53" s="27">
        <f t="shared" si="6"/>
        <v>0</v>
      </c>
      <c r="O53" s="62"/>
      <c r="P53" s="62"/>
      <c r="Q53" s="17">
        <f t="shared" si="3"/>
        <v>0</v>
      </c>
    </row>
    <row r="54" spans="1:37" s="66" customFormat="1" ht="45" x14ac:dyDescent="0.25">
      <c r="A54" s="9">
        <v>29</v>
      </c>
      <c r="B54" s="20">
        <v>1617100001</v>
      </c>
      <c r="C54" s="20" t="s">
        <v>83</v>
      </c>
      <c r="D54" s="29" t="s">
        <v>84</v>
      </c>
      <c r="E54" s="206">
        <v>8</v>
      </c>
      <c r="F54" s="38" t="s">
        <v>31</v>
      </c>
      <c r="G54" s="88" t="s">
        <v>26</v>
      </c>
      <c r="H54" s="22">
        <v>218000</v>
      </c>
      <c r="I54" s="100">
        <f t="shared" si="5"/>
        <v>218000</v>
      </c>
      <c r="J54" s="22">
        <v>0</v>
      </c>
      <c r="K54" s="27">
        <f>5000+52000+35000+31000+10000</f>
        <v>133000</v>
      </c>
      <c r="L54" s="404">
        <f>52000+5000+35000+31000+10000-9997+35000+9997.13</f>
        <v>168000.13</v>
      </c>
      <c r="M54" s="14">
        <f t="shared" si="4"/>
        <v>49999.869999999995</v>
      </c>
      <c r="N54" s="27">
        <f t="shared" si="6"/>
        <v>49999.869999999995</v>
      </c>
      <c r="O54" s="62"/>
      <c r="P54" s="62"/>
      <c r="Q54" s="17">
        <f t="shared" si="3"/>
        <v>-35000.130000000005</v>
      </c>
    </row>
    <row r="55" spans="1:37" s="66" customFormat="1" ht="75" x14ac:dyDescent="0.25">
      <c r="A55" s="9">
        <v>34</v>
      </c>
      <c r="B55" s="67">
        <v>1617100008</v>
      </c>
      <c r="C55" s="67" t="s">
        <v>94</v>
      </c>
      <c r="D55" s="67" t="s">
        <v>95</v>
      </c>
      <c r="E55" s="353">
        <v>8</v>
      </c>
      <c r="F55" s="38" t="s">
        <v>17</v>
      </c>
      <c r="G55" s="138" t="s">
        <v>26</v>
      </c>
      <c r="H55" s="73">
        <v>150000</v>
      </c>
      <c r="I55" s="100">
        <f t="shared" si="5"/>
        <v>150000</v>
      </c>
      <c r="J55" s="38">
        <v>0</v>
      </c>
      <c r="K55" s="42">
        <v>150000</v>
      </c>
      <c r="L55" s="43">
        <f>75000+75000</f>
        <v>150000</v>
      </c>
      <c r="M55" s="14">
        <f t="shared" si="4"/>
        <v>0</v>
      </c>
      <c r="N55" s="27">
        <f t="shared" si="6"/>
        <v>0</v>
      </c>
      <c r="O55" s="62"/>
      <c r="P55" s="62"/>
      <c r="Q55" s="17">
        <f t="shared" si="3"/>
        <v>0</v>
      </c>
    </row>
    <row r="56" spans="1:37" s="66" customFormat="1" ht="60" x14ac:dyDescent="0.25">
      <c r="A56" s="9">
        <v>37</v>
      </c>
      <c r="B56" s="67">
        <v>1617100013</v>
      </c>
      <c r="C56" s="67" t="s">
        <v>100</v>
      </c>
      <c r="D56" s="67" t="s">
        <v>100</v>
      </c>
      <c r="E56" s="353">
        <v>8</v>
      </c>
      <c r="F56" s="38" t="s">
        <v>20</v>
      </c>
      <c r="G56" s="138" t="s">
        <v>26</v>
      </c>
      <c r="H56" s="73">
        <v>86500</v>
      </c>
      <c r="I56" s="100">
        <f t="shared" si="5"/>
        <v>86500</v>
      </c>
      <c r="J56" s="38">
        <v>0</v>
      </c>
      <c r="K56" s="42">
        <v>86500</v>
      </c>
      <c r="L56" s="43">
        <f>86500</f>
        <v>86500</v>
      </c>
      <c r="M56" s="14">
        <f t="shared" si="4"/>
        <v>0</v>
      </c>
      <c r="N56" s="27">
        <f t="shared" si="6"/>
        <v>0</v>
      </c>
      <c r="O56" s="62"/>
      <c r="P56" s="62"/>
      <c r="Q56" s="17">
        <f t="shared" si="3"/>
        <v>0</v>
      </c>
    </row>
    <row r="57" spans="1:37" s="66" customFormat="1" ht="60" x14ac:dyDescent="0.25">
      <c r="A57" s="9"/>
      <c r="B57" s="67">
        <v>1617100049</v>
      </c>
      <c r="C57" s="67" t="s">
        <v>904</v>
      </c>
      <c r="D57" s="67" t="s">
        <v>903</v>
      </c>
      <c r="E57" s="353">
        <v>8</v>
      </c>
      <c r="F57" s="38" t="s">
        <v>495</v>
      </c>
      <c r="G57" s="138" t="s">
        <v>26</v>
      </c>
      <c r="H57" s="73"/>
      <c r="I57" s="100">
        <v>150000</v>
      </c>
      <c r="J57" s="38">
        <v>0</v>
      </c>
      <c r="K57" s="42"/>
      <c r="L57" s="408">
        <v>150000</v>
      </c>
      <c r="M57" s="14">
        <v>0</v>
      </c>
      <c r="N57" s="27"/>
      <c r="O57" s="62"/>
      <c r="P57" s="62"/>
      <c r="Q57" s="17"/>
    </row>
    <row r="58" spans="1:37" s="66" customFormat="1" ht="30" x14ac:dyDescent="0.25">
      <c r="A58" s="9">
        <v>23</v>
      </c>
      <c r="B58" s="20">
        <v>100067</v>
      </c>
      <c r="C58" s="29" t="s">
        <v>71</v>
      </c>
      <c r="D58" s="29" t="s">
        <v>72</v>
      </c>
      <c r="E58" s="206">
        <v>9</v>
      </c>
      <c r="F58" s="38" t="s">
        <v>31</v>
      </c>
      <c r="G58" s="88" t="s">
        <v>26</v>
      </c>
      <c r="H58" s="22">
        <v>374840</v>
      </c>
      <c r="I58" s="100">
        <f>H58-J58</f>
        <v>374840</v>
      </c>
      <c r="J58" s="22">
        <v>0</v>
      </c>
      <c r="K58" s="53">
        <f>77800+92570+262273</f>
        <v>432643</v>
      </c>
      <c r="L58" s="54">
        <f>77800+92570+262273+15570</f>
        <v>448213</v>
      </c>
      <c r="M58" s="145">
        <f>H58-(J58+L58)</f>
        <v>-73373</v>
      </c>
      <c r="N58" s="27">
        <v>0</v>
      </c>
      <c r="O58" s="62"/>
      <c r="P58" s="63" t="s">
        <v>73</v>
      </c>
      <c r="Q58" s="17">
        <f>K58-L58</f>
        <v>-15570</v>
      </c>
    </row>
    <row r="59" spans="1:37" s="66" customFormat="1" ht="30" x14ac:dyDescent="0.25">
      <c r="A59" s="9">
        <v>27</v>
      </c>
      <c r="B59" s="20">
        <v>300051</v>
      </c>
      <c r="C59" s="20" t="s">
        <v>80</v>
      </c>
      <c r="D59" s="29" t="s">
        <v>81</v>
      </c>
      <c r="E59" s="206">
        <v>9</v>
      </c>
      <c r="F59" s="38" t="s">
        <v>31</v>
      </c>
      <c r="G59" s="88" t="s">
        <v>26</v>
      </c>
      <c r="H59" s="22">
        <f>277027+157706+78853</f>
        <v>513586</v>
      </c>
      <c r="I59" s="100">
        <v>671292</v>
      </c>
      <c r="J59" s="22">
        <v>0</v>
      </c>
      <c r="K59" s="27">
        <f>277027+157706+78853</f>
        <v>513586</v>
      </c>
      <c r="L59" s="404">
        <f>277027+157706+78853+157706</f>
        <v>671292</v>
      </c>
      <c r="M59" s="14">
        <f>I59-L59</f>
        <v>0</v>
      </c>
      <c r="N59" s="27">
        <f>M59</f>
        <v>0</v>
      </c>
      <c r="O59" s="62"/>
      <c r="P59" s="62"/>
      <c r="Q59" s="17">
        <f>K59-L59</f>
        <v>-157706</v>
      </c>
    </row>
    <row r="60" spans="1:37" s="66" customFormat="1" ht="63.75" x14ac:dyDescent="0.25">
      <c r="A60" s="9">
        <v>49</v>
      </c>
      <c r="B60" s="98">
        <v>1617100033</v>
      </c>
      <c r="C60" s="78" t="s">
        <v>133</v>
      </c>
      <c r="D60" s="99" t="s">
        <v>134</v>
      </c>
      <c r="E60" s="388">
        <v>9</v>
      </c>
      <c r="F60" s="59" t="s">
        <v>17</v>
      </c>
      <c r="G60" s="133" t="s">
        <v>26</v>
      </c>
      <c r="H60" s="59">
        <v>500000</v>
      </c>
      <c r="I60" s="100">
        <f>H60-J60</f>
        <v>500000</v>
      </c>
      <c r="J60" s="59">
        <v>0</v>
      </c>
      <c r="K60" s="59">
        <v>500000</v>
      </c>
      <c r="L60" s="74">
        <f>500000</f>
        <v>500000</v>
      </c>
      <c r="M60" s="14">
        <f>H60-(J60+L60)</f>
        <v>0</v>
      </c>
      <c r="N60" s="27">
        <f>M60</f>
        <v>0</v>
      </c>
      <c r="O60" s="62"/>
      <c r="P60" s="62"/>
      <c r="Q60" s="17">
        <f>K60-L60</f>
        <v>0</v>
      </c>
    </row>
    <row r="61" spans="1:37" s="66" customFormat="1" ht="25.5" x14ac:dyDescent="0.25">
      <c r="A61" s="9">
        <v>56</v>
      </c>
      <c r="B61" s="76">
        <v>4300045770</v>
      </c>
      <c r="C61" s="76" t="s">
        <v>154</v>
      </c>
      <c r="D61" s="76" t="s">
        <v>155</v>
      </c>
      <c r="E61" s="168">
        <v>9</v>
      </c>
      <c r="F61" s="76" t="s">
        <v>31</v>
      </c>
      <c r="G61" s="135" t="s">
        <v>26</v>
      </c>
      <c r="H61" s="86">
        <v>199230000</v>
      </c>
      <c r="I61" s="100">
        <f>H61-J61</f>
        <v>199230000</v>
      </c>
      <c r="J61" s="76">
        <v>0</v>
      </c>
      <c r="K61" s="76">
        <v>17560587.5</v>
      </c>
      <c r="L61" s="411">
        <f>11720645.8+5839941.7+5171583.92+5193930.46+8351866.36+ 258404.5</f>
        <v>36536372.740000002</v>
      </c>
      <c r="M61" s="14">
        <f>H61-(J61+L61)</f>
        <v>162693627.25999999</v>
      </c>
      <c r="N61" s="27">
        <v>45000000</v>
      </c>
      <c r="Q61" s="17">
        <f>K61-L61</f>
        <v>-18975785.240000002</v>
      </c>
    </row>
    <row r="62" spans="1:37" s="87" customFormat="1" ht="60" x14ac:dyDescent="0.25">
      <c r="A62" s="9">
        <v>57</v>
      </c>
      <c r="B62" s="82">
        <v>1617100046</v>
      </c>
      <c r="C62" s="84" t="s">
        <v>69</v>
      </c>
      <c r="D62" s="75" t="s">
        <v>156</v>
      </c>
      <c r="E62" s="358">
        <v>9</v>
      </c>
      <c r="F62" s="22" t="s">
        <v>20</v>
      </c>
      <c r="G62" s="134" t="s">
        <v>26</v>
      </c>
      <c r="H62" s="76">
        <v>150000</v>
      </c>
      <c r="I62" s="100">
        <f>H62-J62</f>
        <v>150000</v>
      </c>
      <c r="J62" s="25">
        <v>0</v>
      </c>
      <c r="K62" s="25">
        <v>0</v>
      </c>
      <c r="L62" s="405">
        <v>147000</v>
      </c>
      <c r="M62" s="14">
        <f>H62-(J62+L62)</f>
        <v>3000</v>
      </c>
      <c r="N62" s="53">
        <f>M62</f>
        <v>3000</v>
      </c>
      <c r="O62" s="66"/>
      <c r="P62" s="426"/>
      <c r="Q62" s="146">
        <f>K62-L62</f>
        <v>-147000</v>
      </c>
      <c r="R62" s="66"/>
      <c r="S62" s="66"/>
      <c r="T62" s="66"/>
      <c r="U62" s="66"/>
      <c r="V62" s="66"/>
      <c r="W62" s="66"/>
      <c r="X62" s="66"/>
      <c r="Y62" s="66"/>
      <c r="Z62" s="66"/>
      <c r="AA62" s="66"/>
      <c r="AB62" s="66"/>
      <c r="AC62" s="66"/>
      <c r="AD62" s="66"/>
      <c r="AE62" s="66"/>
      <c r="AF62" s="66"/>
      <c r="AG62" s="66"/>
      <c r="AH62" s="66"/>
      <c r="AI62" s="66"/>
      <c r="AJ62" s="66"/>
      <c r="AK62" s="66"/>
    </row>
    <row r="63" spans="1:37" s="87" customFormat="1" ht="15" x14ac:dyDescent="0.25">
      <c r="A63" s="9"/>
      <c r="B63" s="82"/>
      <c r="C63" s="409" t="s">
        <v>900</v>
      </c>
      <c r="D63" s="75" t="s">
        <v>899</v>
      </c>
      <c r="E63" s="358">
        <v>9</v>
      </c>
      <c r="F63" s="38" t="s">
        <v>495</v>
      </c>
      <c r="G63" s="134" t="s">
        <v>26</v>
      </c>
      <c r="H63" s="76"/>
      <c r="I63" s="403">
        <v>353500</v>
      </c>
      <c r="J63" s="25">
        <v>0</v>
      </c>
      <c r="K63" s="25"/>
      <c r="L63" s="403">
        <v>353500</v>
      </c>
      <c r="M63" s="14">
        <f>I63-J63-L63</f>
        <v>0</v>
      </c>
      <c r="N63" s="410">
        <v>0</v>
      </c>
      <c r="O63" s="66"/>
      <c r="P63" s="426"/>
      <c r="Q63" s="146"/>
      <c r="R63" s="66"/>
      <c r="S63" s="66"/>
      <c r="T63" s="66"/>
      <c r="U63" s="66"/>
      <c r="V63" s="66"/>
      <c r="W63" s="66"/>
      <c r="X63" s="66"/>
      <c r="Y63" s="66"/>
      <c r="Z63" s="66"/>
      <c r="AA63" s="66"/>
      <c r="AB63" s="66"/>
      <c r="AC63" s="66"/>
      <c r="AD63" s="66"/>
      <c r="AE63" s="66"/>
      <c r="AF63" s="66"/>
      <c r="AG63" s="66"/>
      <c r="AH63" s="66"/>
      <c r="AI63" s="66"/>
      <c r="AJ63" s="66"/>
      <c r="AK63" s="66"/>
    </row>
    <row r="64" spans="1:37" s="66" customFormat="1" ht="82.5" customHeight="1" x14ac:dyDescent="0.25">
      <c r="A64" s="9">
        <v>58</v>
      </c>
      <c r="B64" s="97" t="s">
        <v>898</v>
      </c>
      <c r="C64" s="402"/>
      <c r="D64" s="29" t="s">
        <v>159</v>
      </c>
      <c r="E64" s="206">
        <v>9</v>
      </c>
      <c r="F64" s="22"/>
      <c r="G64" s="131" t="s">
        <v>26</v>
      </c>
      <c r="H64" s="22">
        <v>498500</v>
      </c>
      <c r="I64" s="100">
        <f t="shared" ref="I64:I72" si="7">H64-J64</f>
        <v>498500</v>
      </c>
      <c r="J64" s="25">
        <v>0</v>
      </c>
      <c r="K64" s="25">
        <v>0</v>
      </c>
      <c r="L64" s="407">
        <f>3413+12199+45950+36500+6300+49633.23+42773.22+14765.55</f>
        <v>211534</v>
      </c>
      <c r="M64" s="14">
        <f t="shared" ref="M64:M72" si="8">H64-(J64+L64)</f>
        <v>286966</v>
      </c>
      <c r="N64" s="27">
        <f t="shared" ref="N64:N72" si="9">M64</f>
        <v>286966</v>
      </c>
      <c r="P64" s="426"/>
      <c r="Q64" s="17">
        <f t="shared" ref="Q64:Q72" si="10">K64-L64</f>
        <v>-211534</v>
      </c>
    </row>
    <row r="65" spans="1:17" s="66" customFormat="1" ht="30" x14ac:dyDescent="0.25">
      <c r="A65" s="9">
        <v>59</v>
      </c>
      <c r="B65" s="97" t="s">
        <v>902</v>
      </c>
      <c r="C65" s="29"/>
      <c r="D65" s="29" t="s">
        <v>161</v>
      </c>
      <c r="E65" s="206">
        <v>9</v>
      </c>
      <c r="F65" s="22"/>
      <c r="G65" s="131" t="s">
        <v>26</v>
      </c>
      <c r="H65" s="22">
        <v>694000</v>
      </c>
      <c r="I65" s="100">
        <f t="shared" si="7"/>
        <v>694000</v>
      </c>
      <c r="J65" s="25">
        <v>0</v>
      </c>
      <c r="K65" s="25">
        <v>0</v>
      </c>
      <c r="L65" s="405">
        <v>824308.16</v>
      </c>
      <c r="M65" s="14">
        <f t="shared" si="8"/>
        <v>-130308.16000000003</v>
      </c>
      <c r="N65" s="27">
        <f t="shared" si="9"/>
        <v>-130308.16000000003</v>
      </c>
      <c r="Q65" s="17">
        <f t="shared" si="10"/>
        <v>-824308.16</v>
      </c>
    </row>
    <row r="66" spans="1:17" s="66" customFormat="1" ht="15" x14ac:dyDescent="0.25">
      <c r="A66" s="9">
        <v>60</v>
      </c>
      <c r="B66" s="97" t="s">
        <v>162</v>
      </c>
      <c r="C66" s="29"/>
      <c r="D66" s="29" t="s">
        <v>163</v>
      </c>
      <c r="E66" s="206">
        <v>9</v>
      </c>
      <c r="F66" s="22"/>
      <c r="G66" s="131" t="s">
        <v>26</v>
      </c>
      <c r="H66" s="22">
        <v>306366</v>
      </c>
      <c r="I66" s="100">
        <f t="shared" si="7"/>
        <v>306366</v>
      </c>
      <c r="J66" s="25">
        <v>0</v>
      </c>
      <c r="K66" s="25">
        <v>0</v>
      </c>
      <c r="L66" s="25"/>
      <c r="M66" s="14">
        <f t="shared" si="8"/>
        <v>306366</v>
      </c>
      <c r="N66" s="27">
        <f t="shared" si="9"/>
        <v>306366</v>
      </c>
      <c r="Q66" s="17">
        <f t="shared" si="10"/>
        <v>0</v>
      </c>
    </row>
    <row r="67" spans="1:17" s="66" customFormat="1" ht="15" x14ac:dyDescent="0.25">
      <c r="A67" s="9">
        <v>61</v>
      </c>
      <c r="B67" s="97" t="s">
        <v>164</v>
      </c>
      <c r="C67" s="29"/>
      <c r="D67" s="29" t="s">
        <v>165</v>
      </c>
      <c r="E67" s="206">
        <v>9</v>
      </c>
      <c r="F67" s="22"/>
      <c r="G67" s="131" t="s">
        <v>26</v>
      </c>
      <c r="H67" s="22">
        <v>292320</v>
      </c>
      <c r="I67" s="100">
        <f t="shared" si="7"/>
        <v>292320</v>
      </c>
      <c r="J67" s="25">
        <v>0</v>
      </c>
      <c r="K67" s="25">
        <v>0</v>
      </c>
      <c r="L67" s="25"/>
      <c r="M67" s="14">
        <f t="shared" si="8"/>
        <v>292320</v>
      </c>
      <c r="N67" s="27">
        <f t="shared" si="9"/>
        <v>292320</v>
      </c>
      <c r="Q67" s="17">
        <f t="shared" si="10"/>
        <v>0</v>
      </c>
    </row>
    <row r="68" spans="1:17" s="66" customFormat="1" ht="30" x14ac:dyDescent="0.25">
      <c r="A68" s="9">
        <v>62</v>
      </c>
      <c r="B68" s="97" t="s">
        <v>166</v>
      </c>
      <c r="C68" s="29"/>
      <c r="D68" s="29" t="s">
        <v>167</v>
      </c>
      <c r="E68" s="206">
        <v>9</v>
      </c>
      <c r="F68" s="22"/>
      <c r="G68" s="131" t="s">
        <v>26</v>
      </c>
      <c r="H68" s="22">
        <v>212340</v>
      </c>
      <c r="I68" s="100">
        <f t="shared" si="7"/>
        <v>212340</v>
      </c>
      <c r="J68" s="25">
        <v>0</v>
      </c>
      <c r="K68" s="25">
        <v>0</v>
      </c>
      <c r="L68" s="25"/>
      <c r="M68" s="14">
        <f t="shared" si="8"/>
        <v>212340</v>
      </c>
      <c r="N68" s="27">
        <f t="shared" si="9"/>
        <v>212340</v>
      </c>
      <c r="Q68" s="17">
        <f t="shared" si="10"/>
        <v>0</v>
      </c>
    </row>
    <row r="69" spans="1:17" s="66" customFormat="1" ht="15" x14ac:dyDescent="0.25">
      <c r="A69" s="9">
        <v>63</v>
      </c>
      <c r="B69" s="97" t="s">
        <v>168</v>
      </c>
      <c r="C69" s="29"/>
      <c r="D69" s="29" t="s">
        <v>169</v>
      </c>
      <c r="E69" s="206">
        <v>9</v>
      </c>
      <c r="F69" s="22"/>
      <c r="G69" s="131" t="s">
        <v>26</v>
      </c>
      <c r="H69" s="22">
        <v>855346</v>
      </c>
      <c r="I69" s="100">
        <f t="shared" si="7"/>
        <v>855346</v>
      </c>
      <c r="J69" s="25">
        <v>0</v>
      </c>
      <c r="K69" s="25">
        <v>0</v>
      </c>
      <c r="L69" s="25"/>
      <c r="M69" s="14">
        <f t="shared" si="8"/>
        <v>855346</v>
      </c>
      <c r="N69" s="27">
        <f t="shared" si="9"/>
        <v>855346</v>
      </c>
      <c r="Q69" s="17">
        <f t="shared" si="10"/>
        <v>0</v>
      </c>
    </row>
    <row r="70" spans="1:17" s="66" customFormat="1" ht="15" x14ac:dyDescent="0.25">
      <c r="A70" s="9">
        <v>64</v>
      </c>
      <c r="B70" s="97" t="s">
        <v>170</v>
      </c>
      <c r="C70" s="29"/>
      <c r="D70" s="29" t="s">
        <v>171</v>
      </c>
      <c r="E70" s="206">
        <v>9</v>
      </c>
      <c r="F70" s="22"/>
      <c r="G70" s="131" t="s">
        <v>26</v>
      </c>
      <c r="H70" s="22">
        <v>156078</v>
      </c>
      <c r="I70" s="100">
        <f t="shared" si="7"/>
        <v>156078</v>
      </c>
      <c r="J70" s="25">
        <v>0</v>
      </c>
      <c r="K70" s="25">
        <v>0</v>
      </c>
      <c r="L70" s="25"/>
      <c r="M70" s="14">
        <f t="shared" si="8"/>
        <v>156078</v>
      </c>
      <c r="N70" s="27">
        <f t="shared" si="9"/>
        <v>156078</v>
      </c>
      <c r="Q70" s="17">
        <f t="shared" si="10"/>
        <v>0</v>
      </c>
    </row>
    <row r="71" spans="1:17" s="66" customFormat="1" ht="15" x14ac:dyDescent="0.25">
      <c r="A71" s="9">
        <v>65</v>
      </c>
      <c r="B71" s="97" t="s">
        <v>172</v>
      </c>
      <c r="C71" s="29"/>
      <c r="D71" s="40" t="s">
        <v>173</v>
      </c>
      <c r="E71" s="342">
        <v>9</v>
      </c>
      <c r="F71" s="22"/>
      <c r="G71" s="131" t="s">
        <v>26</v>
      </c>
      <c r="H71" s="22">
        <v>153137</v>
      </c>
      <c r="I71" s="100">
        <f t="shared" si="7"/>
        <v>153137</v>
      </c>
      <c r="J71" s="25">
        <v>0</v>
      </c>
      <c r="K71" s="25">
        <v>0</v>
      </c>
      <c r="L71" s="25"/>
      <c r="M71" s="14">
        <f t="shared" si="8"/>
        <v>153137</v>
      </c>
      <c r="N71" s="27">
        <f t="shared" si="9"/>
        <v>153137</v>
      </c>
      <c r="Q71" s="17">
        <f t="shared" si="10"/>
        <v>0</v>
      </c>
    </row>
    <row r="72" spans="1:17" s="66" customFormat="1" ht="30" x14ac:dyDescent="0.25">
      <c r="A72" s="9">
        <v>66</v>
      </c>
      <c r="B72" s="97" t="s">
        <v>927</v>
      </c>
      <c r="C72" s="29"/>
      <c r="D72" s="40" t="s">
        <v>175</v>
      </c>
      <c r="E72" s="342">
        <v>9</v>
      </c>
      <c r="F72" s="22"/>
      <c r="G72" s="131" t="s">
        <v>26</v>
      </c>
      <c r="H72" s="22">
        <v>219000</v>
      </c>
      <c r="I72" s="100">
        <f t="shared" si="7"/>
        <v>219000</v>
      </c>
      <c r="J72" s="25">
        <v>0</v>
      </c>
      <c r="K72" s="25">
        <v>0</v>
      </c>
      <c r="L72" s="25">
        <v>109710</v>
      </c>
      <c r="M72" s="14">
        <f t="shared" si="8"/>
        <v>109290</v>
      </c>
      <c r="N72" s="27">
        <f t="shared" si="9"/>
        <v>109290</v>
      </c>
      <c r="Q72" s="17">
        <f t="shared" si="10"/>
        <v>-109710</v>
      </c>
    </row>
    <row r="73" spans="1:17" s="66" customFormat="1" ht="15" x14ac:dyDescent="0.25">
      <c r="A73" s="9"/>
      <c r="B73" s="97"/>
      <c r="C73" s="29"/>
      <c r="D73" s="409" t="s">
        <v>901</v>
      </c>
      <c r="E73" s="342">
        <v>9</v>
      </c>
      <c r="F73" s="22"/>
      <c r="G73" s="131" t="s">
        <v>26</v>
      </c>
      <c r="H73" s="22"/>
      <c r="I73" s="403">
        <f>16110+17325</f>
        <v>33435</v>
      </c>
      <c r="J73" s="25"/>
      <c r="K73" s="25"/>
      <c r="L73" s="403">
        <f>16110+17325</f>
        <v>33435</v>
      </c>
      <c r="M73" s="14">
        <v>0</v>
      </c>
      <c r="N73" s="27"/>
      <c r="Q73" s="17"/>
    </row>
    <row r="74" spans="1:17" s="66" customFormat="1" ht="15" x14ac:dyDescent="0.25">
      <c r="A74" s="9">
        <v>67</v>
      </c>
      <c r="B74" s="97" t="s">
        <v>176</v>
      </c>
      <c r="C74" s="29" t="s">
        <v>177</v>
      </c>
      <c r="D74" s="29" t="s">
        <v>178</v>
      </c>
      <c r="E74" s="206">
        <v>9</v>
      </c>
      <c r="F74" s="22" t="s">
        <v>20</v>
      </c>
      <c r="G74" s="88" t="s">
        <v>26</v>
      </c>
      <c r="H74" s="25">
        <v>22467</v>
      </c>
      <c r="I74" s="100">
        <f t="shared" ref="I74:I93" si="11">H74-J74</f>
        <v>22467</v>
      </c>
      <c r="J74" s="25">
        <v>0</v>
      </c>
      <c r="K74" s="25">
        <v>22467</v>
      </c>
      <c r="L74" s="26">
        <v>22467</v>
      </c>
      <c r="M74" s="14">
        <f t="shared" ref="M74:M83" si="12">H74-(J74+L74)</f>
        <v>0</v>
      </c>
      <c r="N74" s="61">
        <v>0</v>
      </c>
      <c r="Q74" s="17">
        <f t="shared" ref="Q74:Q83" si="13">K74-L74</f>
        <v>0</v>
      </c>
    </row>
    <row r="75" spans="1:17" s="66" customFormat="1" ht="30" x14ac:dyDescent="0.25">
      <c r="A75" s="9">
        <v>68</v>
      </c>
      <c r="B75" s="97" t="s">
        <v>176</v>
      </c>
      <c r="C75" s="29" t="s">
        <v>176</v>
      </c>
      <c r="D75" s="29" t="s">
        <v>179</v>
      </c>
      <c r="E75" s="206">
        <v>9</v>
      </c>
      <c r="F75" s="22" t="s">
        <v>20</v>
      </c>
      <c r="G75" s="88" t="s">
        <v>26</v>
      </c>
      <c r="H75" s="25">
        <v>10000</v>
      </c>
      <c r="I75" s="100">
        <f t="shared" si="11"/>
        <v>10000</v>
      </c>
      <c r="J75" s="25">
        <v>0</v>
      </c>
      <c r="K75" s="25">
        <v>10000</v>
      </c>
      <c r="L75" s="26">
        <v>10000</v>
      </c>
      <c r="M75" s="14">
        <f t="shared" si="12"/>
        <v>0</v>
      </c>
      <c r="N75" s="61">
        <v>0</v>
      </c>
      <c r="Q75" s="17">
        <f t="shared" si="13"/>
        <v>0</v>
      </c>
    </row>
    <row r="76" spans="1:17" s="66" customFormat="1" ht="30" x14ac:dyDescent="0.25">
      <c r="A76" s="9">
        <v>69</v>
      </c>
      <c r="B76" s="97"/>
      <c r="C76" s="29"/>
      <c r="D76" s="30" t="s">
        <v>180</v>
      </c>
      <c r="E76" s="342">
        <v>9</v>
      </c>
      <c r="F76" s="38" t="s">
        <v>20</v>
      </c>
      <c r="G76" s="88" t="s">
        <v>26</v>
      </c>
      <c r="H76" s="25">
        <v>50250</v>
      </c>
      <c r="I76" s="100">
        <f t="shared" si="11"/>
        <v>50250</v>
      </c>
      <c r="J76" s="25">
        <v>0</v>
      </c>
      <c r="K76" s="25"/>
      <c r="L76" s="26">
        <v>50250</v>
      </c>
      <c r="M76" s="14">
        <f t="shared" si="12"/>
        <v>0</v>
      </c>
      <c r="N76" s="61"/>
      <c r="Q76" s="17">
        <f t="shared" si="13"/>
        <v>-50250</v>
      </c>
    </row>
    <row r="77" spans="1:17" s="28" customFormat="1" ht="30" x14ac:dyDescent="0.25">
      <c r="A77" s="9">
        <v>73</v>
      </c>
      <c r="B77" s="20" t="s">
        <v>189</v>
      </c>
      <c r="C77" s="20" t="s">
        <v>190</v>
      </c>
      <c r="D77" s="29" t="s">
        <v>191</v>
      </c>
      <c r="E77" s="206">
        <v>9</v>
      </c>
      <c r="F77" s="38" t="s">
        <v>20</v>
      </c>
      <c r="G77" s="88" t="s">
        <v>26</v>
      </c>
      <c r="H77" s="22">
        <v>34923</v>
      </c>
      <c r="I77" s="100">
        <f t="shared" si="11"/>
        <v>34923</v>
      </c>
      <c r="J77" s="22">
        <v>0</v>
      </c>
      <c r="K77" s="27">
        <v>34923</v>
      </c>
      <c r="L77" s="31">
        <v>34923</v>
      </c>
      <c r="M77" s="14">
        <f t="shared" si="12"/>
        <v>0</v>
      </c>
      <c r="N77" s="27">
        <f>M77</f>
        <v>0</v>
      </c>
      <c r="O77" s="6"/>
      <c r="P77" s="6"/>
      <c r="Q77" s="17">
        <f t="shared" si="13"/>
        <v>0</v>
      </c>
    </row>
    <row r="78" spans="1:17" s="66" customFormat="1" ht="30" x14ac:dyDescent="0.25">
      <c r="A78" s="9">
        <v>76</v>
      </c>
      <c r="B78" s="29"/>
      <c r="C78" s="20"/>
      <c r="D78" s="30" t="s">
        <v>196</v>
      </c>
      <c r="E78" s="342">
        <v>9</v>
      </c>
      <c r="F78" s="38" t="s">
        <v>20</v>
      </c>
      <c r="G78" s="121" t="s">
        <v>26</v>
      </c>
      <c r="H78" s="71">
        <v>344094</v>
      </c>
      <c r="I78" s="150">
        <f t="shared" si="11"/>
        <v>344094</v>
      </c>
      <c r="J78" s="22">
        <v>0</v>
      </c>
      <c r="K78" s="22"/>
      <c r="L78" s="31">
        <v>344094</v>
      </c>
      <c r="M78" s="145">
        <f t="shared" si="12"/>
        <v>0</v>
      </c>
      <c r="N78" s="27"/>
      <c r="O78" s="6"/>
      <c r="P78" s="6"/>
      <c r="Q78" s="17">
        <f t="shared" si="13"/>
        <v>-344094</v>
      </c>
    </row>
    <row r="79" spans="1:17" s="66" customFormat="1" ht="15" x14ac:dyDescent="0.25">
      <c r="A79" s="9"/>
      <c r="B79" s="29"/>
      <c r="C79" s="20"/>
      <c r="D79" s="427" t="s">
        <v>926</v>
      </c>
      <c r="E79" s="342"/>
      <c r="F79" s="38"/>
      <c r="G79" s="121"/>
      <c r="H79" s="71"/>
      <c r="I79" s="150"/>
      <c r="J79" s="22"/>
      <c r="K79" s="22"/>
      <c r="L79" s="404">
        <v>4945</v>
      </c>
      <c r="M79" s="145"/>
      <c r="N79" s="27"/>
      <c r="O79" s="6"/>
      <c r="P79" s="6"/>
      <c r="Q79" s="17">
        <f t="shared" si="13"/>
        <v>-4945</v>
      </c>
    </row>
    <row r="80" spans="1:17" s="50" customFormat="1" ht="15" x14ac:dyDescent="0.25">
      <c r="A80" s="9">
        <v>28</v>
      </c>
      <c r="B80" s="64">
        <v>1617000203</v>
      </c>
      <c r="C80" s="65" t="s">
        <v>69</v>
      </c>
      <c r="D80" s="40" t="s">
        <v>82</v>
      </c>
      <c r="E80" s="342">
        <v>10</v>
      </c>
      <c r="F80" s="38" t="s">
        <v>31</v>
      </c>
      <c r="G80" s="131" t="s">
        <v>26</v>
      </c>
      <c r="H80" s="38">
        <v>1000000</v>
      </c>
      <c r="I80" s="100">
        <f t="shared" si="11"/>
        <v>1000000</v>
      </c>
      <c r="J80" s="38">
        <v>0</v>
      </c>
      <c r="K80" s="42">
        <v>85000</v>
      </c>
      <c r="L80" s="408">
        <f>51000+34000+30679+25079</f>
        <v>140758</v>
      </c>
      <c r="M80" s="14">
        <f t="shared" si="12"/>
        <v>859242</v>
      </c>
      <c r="N80" s="27">
        <f>30679</f>
        <v>30679</v>
      </c>
      <c r="O80" s="66"/>
      <c r="P80" s="66"/>
      <c r="Q80" s="17">
        <f t="shared" si="13"/>
        <v>-55758</v>
      </c>
    </row>
    <row r="81" spans="1:18" ht="38.25" x14ac:dyDescent="0.25">
      <c r="A81" s="9">
        <v>1</v>
      </c>
      <c r="B81" s="96">
        <v>100007</v>
      </c>
      <c r="C81" s="16" t="s">
        <v>15</v>
      </c>
      <c r="D81" s="106" t="s">
        <v>16</v>
      </c>
      <c r="E81" s="168">
        <v>11</v>
      </c>
      <c r="F81" s="52" t="s">
        <v>17</v>
      </c>
      <c r="G81" s="121" t="s">
        <v>18</v>
      </c>
      <c r="H81" s="100">
        <v>2310000</v>
      </c>
      <c r="I81" s="100">
        <f t="shared" si="11"/>
        <v>462000</v>
      </c>
      <c r="J81" s="103">
        <v>1848000</v>
      </c>
      <c r="K81" s="100">
        <f>H81-J81</f>
        <v>462000</v>
      </c>
      <c r="L81" s="18">
        <f>462000</f>
        <v>462000</v>
      </c>
      <c r="M81" s="14">
        <f t="shared" si="12"/>
        <v>0</v>
      </c>
      <c r="N81" s="14"/>
      <c r="Q81" s="17">
        <f t="shared" si="13"/>
        <v>0</v>
      </c>
    </row>
    <row r="82" spans="1:18" ht="15" x14ac:dyDescent="0.25">
      <c r="A82" s="9">
        <v>2</v>
      </c>
      <c r="B82" s="96"/>
      <c r="C82" s="16"/>
      <c r="D82" s="19" t="s">
        <v>19</v>
      </c>
      <c r="E82" s="352">
        <v>11</v>
      </c>
      <c r="F82" s="52" t="s">
        <v>20</v>
      </c>
      <c r="G82" s="121" t="s">
        <v>18</v>
      </c>
      <c r="H82" s="100">
        <v>19379</v>
      </c>
      <c r="I82" s="100">
        <f t="shared" si="11"/>
        <v>19379</v>
      </c>
      <c r="J82" s="103">
        <v>0</v>
      </c>
      <c r="K82" s="100"/>
      <c r="L82" s="18">
        <f>10956+450+4640+2029+1009+295</f>
        <v>19379</v>
      </c>
      <c r="M82" s="14">
        <f t="shared" si="12"/>
        <v>0</v>
      </c>
      <c r="N82" s="14"/>
      <c r="Q82" s="17">
        <f t="shared" si="13"/>
        <v>-19379</v>
      </c>
    </row>
    <row r="83" spans="1:18" ht="60" x14ac:dyDescent="0.25">
      <c r="A83" s="9">
        <v>19</v>
      </c>
      <c r="B83" s="20">
        <v>100060</v>
      </c>
      <c r="C83" s="20" t="s">
        <v>58</v>
      </c>
      <c r="D83" s="29" t="s">
        <v>59</v>
      </c>
      <c r="E83" s="206">
        <v>11</v>
      </c>
      <c r="F83" s="38" t="s">
        <v>31</v>
      </c>
      <c r="G83" s="127" t="s">
        <v>18</v>
      </c>
      <c r="H83" s="22">
        <v>4032000</v>
      </c>
      <c r="I83" s="100">
        <f t="shared" si="11"/>
        <v>4032000</v>
      </c>
      <c r="J83" s="22">
        <v>0</v>
      </c>
      <c r="K83" s="27">
        <f>1209600+2016000</f>
        <v>3225600</v>
      </c>
      <c r="L83" s="404">
        <f>1209600+2016000+600000</f>
        <v>3825600</v>
      </c>
      <c r="M83" s="14">
        <f t="shared" si="12"/>
        <v>206400</v>
      </c>
      <c r="N83" s="27">
        <f>M83</f>
        <v>206400</v>
      </c>
      <c r="Q83" s="17">
        <f t="shared" si="13"/>
        <v>-600000</v>
      </c>
    </row>
    <row r="84" spans="1:18" ht="75" x14ac:dyDescent="0.25">
      <c r="A84" s="167">
        <v>11</v>
      </c>
      <c r="B84" s="131">
        <v>300059</v>
      </c>
      <c r="C84" s="258" t="s">
        <v>418</v>
      </c>
      <c r="D84" s="259" t="s">
        <v>419</v>
      </c>
      <c r="E84" s="187">
        <v>11</v>
      </c>
      <c r="F84" s="131"/>
      <c r="G84" s="259" t="s">
        <v>18</v>
      </c>
      <c r="H84" s="260">
        <v>448900</v>
      </c>
      <c r="I84" s="131">
        <f t="shared" si="11"/>
        <v>448900</v>
      </c>
      <c r="J84" s="131">
        <v>0</v>
      </c>
      <c r="K84" s="261">
        <f>418900+34500</f>
        <v>453400</v>
      </c>
      <c r="L84" s="178">
        <f>418900+34500</f>
        <v>453400</v>
      </c>
      <c r="M84" s="127">
        <v>0</v>
      </c>
      <c r="N84" s="127">
        <f>M84</f>
        <v>0</v>
      </c>
    </row>
    <row r="85" spans="1:18" ht="60" x14ac:dyDescent="0.25">
      <c r="A85" s="9">
        <v>30</v>
      </c>
      <c r="B85" s="67">
        <v>1617100002</v>
      </c>
      <c r="C85" s="67" t="s">
        <v>85</v>
      </c>
      <c r="D85" s="67" t="s">
        <v>86</v>
      </c>
      <c r="E85" s="353">
        <v>12</v>
      </c>
      <c r="F85" s="38" t="s">
        <v>31</v>
      </c>
      <c r="G85" s="121" t="s">
        <v>18</v>
      </c>
      <c r="H85" s="68">
        <v>1153650</v>
      </c>
      <c r="I85" s="100">
        <f t="shared" si="11"/>
        <v>1153650</v>
      </c>
      <c r="J85" s="38">
        <v>0</v>
      </c>
      <c r="K85" s="42">
        <f>6200+50955</f>
        <v>57155</v>
      </c>
      <c r="L85" s="408">
        <f>6200+50955+7500</f>
        <v>64655</v>
      </c>
      <c r="M85" s="14">
        <f t="shared" ref="M85:M93" si="14">H85-(J85+L85)</f>
        <v>1088995</v>
      </c>
      <c r="N85" s="53">
        <f>M85</f>
        <v>1088995</v>
      </c>
      <c r="O85" s="62"/>
      <c r="P85" s="62"/>
      <c r="Q85" s="17">
        <f>K85-L85</f>
        <v>-7500</v>
      </c>
    </row>
    <row r="86" spans="1:18" ht="30" x14ac:dyDescent="0.25">
      <c r="A86" s="9">
        <v>31</v>
      </c>
      <c r="B86" s="67"/>
      <c r="C86" s="67">
        <v>150104</v>
      </c>
      <c r="D86" s="67" t="s">
        <v>87</v>
      </c>
      <c r="E86" s="353">
        <v>12</v>
      </c>
      <c r="F86" s="38" t="s">
        <v>20</v>
      </c>
      <c r="G86" s="121" t="s">
        <v>18</v>
      </c>
      <c r="H86" s="68">
        <v>6500</v>
      </c>
      <c r="I86" s="100">
        <f t="shared" si="11"/>
        <v>6500</v>
      </c>
      <c r="J86" s="38">
        <v>0</v>
      </c>
      <c r="K86" s="42"/>
      <c r="L86" s="43">
        <v>6500</v>
      </c>
      <c r="M86" s="14">
        <f t="shared" si="14"/>
        <v>0</v>
      </c>
      <c r="N86" s="53"/>
      <c r="O86" s="62"/>
      <c r="P86" s="62"/>
      <c r="Q86" s="17">
        <f>K86-L86</f>
        <v>-6500</v>
      </c>
    </row>
    <row r="87" spans="1:18" s="28" customFormat="1" ht="51" x14ac:dyDescent="0.25">
      <c r="A87" s="93">
        <v>20</v>
      </c>
      <c r="B87" s="164">
        <v>200083</v>
      </c>
      <c r="C87" s="41" t="s">
        <v>239</v>
      </c>
      <c r="D87" s="179" t="s">
        <v>240</v>
      </c>
      <c r="E87" s="354">
        <v>13</v>
      </c>
      <c r="F87" s="72" t="s">
        <v>31</v>
      </c>
      <c r="G87" s="52" t="s">
        <v>241</v>
      </c>
      <c r="H87" s="72">
        <v>107500</v>
      </c>
      <c r="I87" s="158">
        <f t="shared" si="11"/>
        <v>107500</v>
      </c>
      <c r="J87" s="72">
        <v>0</v>
      </c>
      <c r="K87" s="162">
        <v>55000</v>
      </c>
      <c r="L87" s="163">
        <f>55000</f>
        <v>55000</v>
      </c>
      <c r="M87" s="215">
        <f t="shared" si="14"/>
        <v>52500</v>
      </c>
      <c r="N87" s="162">
        <f>M87</f>
        <v>52500</v>
      </c>
      <c r="O87" s="6"/>
      <c r="P87" s="6"/>
      <c r="Q87" s="6"/>
    </row>
    <row r="88" spans="1:18" s="28" customFormat="1" ht="51" x14ac:dyDescent="0.25">
      <c r="A88" s="93">
        <v>9</v>
      </c>
      <c r="B88" s="168">
        <v>200059</v>
      </c>
      <c r="C88" s="76" t="s">
        <v>219</v>
      </c>
      <c r="D88" s="106" t="s">
        <v>220</v>
      </c>
      <c r="E88" s="168">
        <v>13</v>
      </c>
      <c r="F88" s="52" t="s">
        <v>17</v>
      </c>
      <c r="G88" s="169" t="s">
        <v>204</v>
      </c>
      <c r="H88" s="169">
        <v>425000</v>
      </c>
      <c r="I88" s="158">
        <f t="shared" si="11"/>
        <v>150000</v>
      </c>
      <c r="J88" s="169">
        <v>275000</v>
      </c>
      <c r="K88" s="162"/>
      <c r="L88" s="163">
        <f>150000</f>
        <v>150000</v>
      </c>
      <c r="M88" s="215">
        <f t="shared" si="14"/>
        <v>0</v>
      </c>
      <c r="N88" s="162"/>
      <c r="O88" s="6"/>
      <c r="P88" s="6"/>
      <c r="Q88" s="6"/>
    </row>
    <row r="89" spans="1:18" s="28" customFormat="1" ht="60" x14ac:dyDescent="0.25">
      <c r="A89" s="93">
        <v>34</v>
      </c>
      <c r="B89" s="65">
        <v>200105</v>
      </c>
      <c r="C89" s="40" t="s">
        <v>265</v>
      </c>
      <c r="D89" s="65" t="s">
        <v>266</v>
      </c>
      <c r="E89" s="355">
        <v>13</v>
      </c>
      <c r="F89" s="72" t="s">
        <v>20</v>
      </c>
      <c r="G89" s="30" t="s">
        <v>204</v>
      </c>
      <c r="H89" s="72">
        <v>40000</v>
      </c>
      <c r="I89" s="158">
        <f t="shared" si="11"/>
        <v>40000</v>
      </c>
      <c r="J89" s="72">
        <v>0</v>
      </c>
      <c r="K89" s="162">
        <v>40000</v>
      </c>
      <c r="L89" s="163">
        <v>40000</v>
      </c>
      <c r="M89" s="215">
        <f t="shared" si="14"/>
        <v>0</v>
      </c>
      <c r="N89" s="162">
        <f>M89</f>
        <v>0</v>
      </c>
      <c r="O89" s="6"/>
      <c r="P89" s="6"/>
      <c r="Q89" s="6"/>
    </row>
    <row r="90" spans="1:18" s="66" customFormat="1" ht="60" x14ac:dyDescent="0.25">
      <c r="A90" s="93">
        <v>35</v>
      </c>
      <c r="B90" s="164">
        <v>200106</v>
      </c>
      <c r="C90" s="182" t="s">
        <v>267</v>
      </c>
      <c r="D90" s="190" t="s">
        <v>268</v>
      </c>
      <c r="E90" s="356">
        <v>13</v>
      </c>
      <c r="F90" s="72" t="s">
        <v>20</v>
      </c>
      <c r="G90" s="30" t="s">
        <v>204</v>
      </c>
      <c r="H90" s="72">
        <v>200000</v>
      </c>
      <c r="I90" s="158">
        <f t="shared" si="11"/>
        <v>200000</v>
      </c>
      <c r="J90" s="72">
        <v>0</v>
      </c>
      <c r="K90" s="162">
        <v>200000</v>
      </c>
      <c r="L90" s="163">
        <f>200000</f>
        <v>200000</v>
      </c>
      <c r="M90" s="215">
        <f t="shared" si="14"/>
        <v>0</v>
      </c>
      <c r="N90" s="162">
        <f>M90</f>
        <v>0</v>
      </c>
      <c r="O90" s="6"/>
      <c r="P90" s="6"/>
      <c r="Q90" s="6"/>
      <c r="R90" s="118"/>
    </row>
    <row r="91" spans="1:18" s="66" customFormat="1" ht="105" x14ac:dyDescent="0.25">
      <c r="A91" s="93">
        <v>63</v>
      </c>
      <c r="B91" s="67">
        <v>1617200034</v>
      </c>
      <c r="C91" s="67" t="s">
        <v>69</v>
      </c>
      <c r="D91" s="67" t="s">
        <v>337</v>
      </c>
      <c r="E91" s="353">
        <v>13</v>
      </c>
      <c r="F91" s="72" t="s">
        <v>31</v>
      </c>
      <c r="G91" s="85" t="s">
        <v>204</v>
      </c>
      <c r="H91" s="200"/>
      <c r="I91" s="158">
        <f t="shared" si="11"/>
        <v>0</v>
      </c>
      <c r="J91" s="198"/>
      <c r="K91" s="198"/>
      <c r="L91" s="198"/>
      <c r="M91" s="215">
        <f t="shared" si="14"/>
        <v>0</v>
      </c>
      <c r="N91" s="162">
        <v>0</v>
      </c>
      <c r="O91" s="6"/>
      <c r="P91" s="6"/>
      <c r="Q91" s="6"/>
    </row>
    <row r="92" spans="1:18" s="28" customFormat="1" ht="45" x14ac:dyDescent="0.25">
      <c r="A92" s="93">
        <v>65</v>
      </c>
      <c r="B92" s="67">
        <v>1617200040</v>
      </c>
      <c r="C92" s="67" t="s">
        <v>69</v>
      </c>
      <c r="D92" s="67" t="s">
        <v>345</v>
      </c>
      <c r="E92" s="353">
        <v>13</v>
      </c>
      <c r="F92" s="72" t="s">
        <v>17</v>
      </c>
      <c r="G92" s="85" t="s">
        <v>204</v>
      </c>
      <c r="H92" s="73">
        <v>499500</v>
      </c>
      <c r="I92" s="158">
        <f t="shared" si="11"/>
        <v>499500</v>
      </c>
      <c r="J92" s="72">
        <v>0</v>
      </c>
      <c r="K92" s="162">
        <v>499500</v>
      </c>
      <c r="L92" s="163">
        <v>499500</v>
      </c>
      <c r="M92" s="215">
        <f t="shared" si="14"/>
        <v>0</v>
      </c>
      <c r="N92" s="162">
        <f>M92</f>
        <v>0</v>
      </c>
      <c r="O92" s="6"/>
      <c r="P92" s="6"/>
      <c r="Q92" s="6"/>
    </row>
    <row r="93" spans="1:18" ht="60" x14ac:dyDescent="0.25">
      <c r="A93" s="93">
        <v>73</v>
      </c>
      <c r="B93" s="181"/>
      <c r="C93" s="180" t="s">
        <v>385</v>
      </c>
      <c r="D93" s="208" t="s">
        <v>386</v>
      </c>
      <c r="E93" s="357">
        <v>13</v>
      </c>
      <c r="F93" s="162" t="s">
        <v>20</v>
      </c>
      <c r="G93" s="67" t="s">
        <v>204</v>
      </c>
      <c r="H93" s="162">
        <v>35300</v>
      </c>
      <c r="I93" s="158">
        <f t="shared" si="11"/>
        <v>35300</v>
      </c>
      <c r="J93" s="162">
        <v>0</v>
      </c>
      <c r="K93" s="162">
        <v>35300</v>
      </c>
      <c r="L93" s="163">
        <v>35300</v>
      </c>
      <c r="M93" s="215">
        <f t="shared" si="14"/>
        <v>0</v>
      </c>
      <c r="N93" s="162">
        <f>M93</f>
        <v>0</v>
      </c>
    </row>
    <row r="94" spans="1:18" ht="60" x14ac:dyDescent="0.25">
      <c r="A94" s="93"/>
      <c r="B94" s="67">
        <v>1617200063</v>
      </c>
      <c r="C94" s="180" t="s">
        <v>379</v>
      </c>
      <c r="D94" s="208" t="s">
        <v>909</v>
      </c>
      <c r="E94" s="357">
        <v>13</v>
      </c>
      <c r="F94" s="162" t="s">
        <v>20</v>
      </c>
      <c r="G94" s="67" t="s">
        <v>204</v>
      </c>
      <c r="H94" s="162"/>
      <c r="I94" s="158">
        <v>357000</v>
      </c>
      <c r="J94" s="162">
        <v>0</v>
      </c>
      <c r="K94" s="162"/>
      <c r="L94" s="413">
        <v>327000</v>
      </c>
      <c r="M94" s="215"/>
      <c r="N94" s="162"/>
    </row>
    <row r="95" spans="1:18" ht="60" x14ac:dyDescent="0.25">
      <c r="A95" s="93">
        <v>26</v>
      </c>
      <c r="B95" s="164">
        <v>200092</v>
      </c>
      <c r="C95" s="78" t="s">
        <v>252</v>
      </c>
      <c r="D95" s="165" t="s">
        <v>253</v>
      </c>
      <c r="E95" s="358">
        <v>14</v>
      </c>
      <c r="F95" s="72" t="s">
        <v>31</v>
      </c>
      <c r="G95" s="30" t="s">
        <v>204</v>
      </c>
      <c r="H95" s="72">
        <v>688000</v>
      </c>
      <c r="I95" s="158">
        <f t="shared" ref="I95:I135" si="15">H95-J95</f>
        <v>688000</v>
      </c>
      <c r="J95" s="72">
        <v>0</v>
      </c>
      <c r="K95" s="162">
        <f>258000+258000</f>
        <v>516000</v>
      </c>
      <c r="L95" s="163">
        <f>258000+258000</f>
        <v>516000</v>
      </c>
      <c r="M95" s="215">
        <f t="shared" ref="M95:M135" si="16">H95-(J95+L95)</f>
        <v>172000</v>
      </c>
      <c r="N95" s="162">
        <f>M95</f>
        <v>172000</v>
      </c>
    </row>
    <row r="96" spans="1:18" ht="60" x14ac:dyDescent="0.25">
      <c r="A96" s="93">
        <v>29</v>
      </c>
      <c r="B96" s="164">
        <v>200096</v>
      </c>
      <c r="C96" s="182" t="s">
        <v>69</v>
      </c>
      <c r="D96" s="180" t="s">
        <v>258</v>
      </c>
      <c r="E96" s="359">
        <v>14</v>
      </c>
      <c r="F96" s="72" t="s">
        <v>31</v>
      </c>
      <c r="G96" s="65" t="s">
        <v>204</v>
      </c>
      <c r="H96" s="72">
        <v>475000</v>
      </c>
      <c r="I96" s="158">
        <f t="shared" si="15"/>
        <v>475000</v>
      </c>
      <c r="J96" s="72">
        <v>0</v>
      </c>
      <c r="K96" s="162">
        <v>158000</v>
      </c>
      <c r="L96" s="413">
        <f>158000+200000</f>
        <v>358000</v>
      </c>
      <c r="M96" s="215">
        <f t="shared" si="16"/>
        <v>117000</v>
      </c>
      <c r="N96" s="162">
        <f>M96</f>
        <v>117000</v>
      </c>
    </row>
    <row r="97" spans="1:14" ht="60" x14ac:dyDescent="0.25">
      <c r="A97" s="93">
        <v>39</v>
      </c>
      <c r="B97" s="164">
        <v>200112</v>
      </c>
      <c r="C97" s="182" t="s">
        <v>277</v>
      </c>
      <c r="D97" s="190" t="s">
        <v>278</v>
      </c>
      <c r="E97" s="356">
        <v>14</v>
      </c>
      <c r="F97" s="72" t="s">
        <v>31</v>
      </c>
      <c r="G97" s="67" t="s">
        <v>204</v>
      </c>
      <c r="H97" s="72">
        <v>724966</v>
      </c>
      <c r="I97" s="158">
        <f t="shared" si="15"/>
        <v>724966</v>
      </c>
      <c r="J97" s="72">
        <v>0</v>
      </c>
      <c r="K97" s="162">
        <f>241000+241000</f>
        <v>482000</v>
      </c>
      <c r="L97" s="413">
        <f>241000+241000+220000</f>
        <v>702000</v>
      </c>
      <c r="M97" s="215">
        <f t="shared" si="16"/>
        <v>22966</v>
      </c>
      <c r="N97" s="162">
        <f>M97</f>
        <v>22966</v>
      </c>
    </row>
    <row r="98" spans="1:14" ht="38.25" x14ac:dyDescent="0.25">
      <c r="A98" s="93">
        <v>71</v>
      </c>
      <c r="B98" s="167" t="s">
        <v>380</v>
      </c>
      <c r="C98" s="201" t="s">
        <v>381</v>
      </c>
      <c r="D98" s="202" t="s">
        <v>382</v>
      </c>
      <c r="E98" s="360">
        <v>14</v>
      </c>
      <c r="F98" s="132" t="s">
        <v>31</v>
      </c>
      <c r="G98" s="52" t="s">
        <v>204</v>
      </c>
      <c r="H98" s="158">
        <v>3685979</v>
      </c>
      <c r="I98" s="158">
        <f t="shared" si="15"/>
        <v>2622002</v>
      </c>
      <c r="J98" s="159">
        <v>1063977</v>
      </c>
      <c r="K98" s="52">
        <f>792073+23070.11+662420+33042.34</f>
        <v>1510605.45</v>
      </c>
      <c r="L98" s="425">
        <f>813605.44+665881.4+630008.85+18110.23+407671</f>
        <v>2535276.92</v>
      </c>
      <c r="M98" s="215">
        <f t="shared" si="16"/>
        <v>86725.080000000075</v>
      </c>
      <c r="N98" s="162">
        <f>M98</f>
        <v>86725.080000000075</v>
      </c>
    </row>
    <row r="99" spans="1:14" ht="25.5" x14ac:dyDescent="0.25">
      <c r="A99" s="93">
        <v>2</v>
      </c>
      <c r="B99" s="157">
        <v>200016</v>
      </c>
      <c r="C99" s="132" t="s">
        <v>205</v>
      </c>
      <c r="D99" s="106" t="s">
        <v>206</v>
      </c>
      <c r="E99" s="168">
        <v>15</v>
      </c>
      <c r="F99" s="160" t="s">
        <v>17</v>
      </c>
      <c r="G99" s="158" t="s">
        <v>204</v>
      </c>
      <c r="H99" s="158">
        <v>350000</v>
      </c>
      <c r="I99" s="158">
        <f t="shared" si="15"/>
        <v>50000</v>
      </c>
      <c r="J99" s="158">
        <v>300000</v>
      </c>
      <c r="K99" s="162"/>
      <c r="L99" s="163">
        <v>50000</v>
      </c>
      <c r="M99" s="215">
        <f t="shared" si="16"/>
        <v>0</v>
      </c>
      <c r="N99" s="162"/>
    </row>
    <row r="100" spans="1:14" ht="60" x14ac:dyDescent="0.25">
      <c r="A100" s="93">
        <v>3</v>
      </c>
      <c r="B100" s="65">
        <v>200041</v>
      </c>
      <c r="C100" s="72" t="s">
        <v>207</v>
      </c>
      <c r="D100" s="65" t="s">
        <v>208</v>
      </c>
      <c r="E100" s="355">
        <v>15</v>
      </c>
      <c r="F100" s="72" t="s">
        <v>17</v>
      </c>
      <c r="G100" s="30" t="s">
        <v>204</v>
      </c>
      <c r="H100" s="72">
        <v>499500</v>
      </c>
      <c r="I100" s="158">
        <f t="shared" si="15"/>
        <v>34500</v>
      </c>
      <c r="J100" s="72">
        <v>465000</v>
      </c>
      <c r="K100" s="162">
        <v>34500</v>
      </c>
      <c r="L100" s="163">
        <f>34500</f>
        <v>34500</v>
      </c>
      <c r="M100" s="215">
        <f t="shared" si="16"/>
        <v>0</v>
      </c>
      <c r="N100" s="162">
        <f>M100</f>
        <v>0</v>
      </c>
    </row>
    <row r="101" spans="1:14" ht="60" x14ac:dyDescent="0.25">
      <c r="A101" s="93">
        <v>4</v>
      </c>
      <c r="B101" s="164">
        <v>200043</v>
      </c>
      <c r="C101" s="164" t="s">
        <v>209</v>
      </c>
      <c r="D101" s="165" t="s">
        <v>210</v>
      </c>
      <c r="E101" s="358">
        <v>15</v>
      </c>
      <c r="F101" s="72" t="s">
        <v>17</v>
      </c>
      <c r="G101" s="21" t="s">
        <v>204</v>
      </c>
      <c r="H101" s="72">
        <v>325000</v>
      </c>
      <c r="I101" s="158">
        <f t="shared" si="15"/>
        <v>125000</v>
      </c>
      <c r="J101" s="72">
        <f>100000+100000</f>
        <v>200000</v>
      </c>
      <c r="K101" s="162">
        <v>100000</v>
      </c>
      <c r="L101" s="163">
        <f>25000+100000</f>
        <v>125000</v>
      </c>
      <c r="M101" s="215">
        <f t="shared" si="16"/>
        <v>0</v>
      </c>
      <c r="N101" s="162">
        <f>M101</f>
        <v>0</v>
      </c>
    </row>
    <row r="102" spans="1:14" ht="38.25" x14ac:dyDescent="0.25">
      <c r="A102" s="93">
        <v>5</v>
      </c>
      <c r="B102" s="164">
        <v>200044</v>
      </c>
      <c r="C102" s="164" t="s">
        <v>211</v>
      </c>
      <c r="D102" s="75" t="s">
        <v>212</v>
      </c>
      <c r="E102" s="358">
        <v>15</v>
      </c>
      <c r="F102" s="72" t="s">
        <v>17</v>
      </c>
      <c r="G102" s="52" t="s">
        <v>204</v>
      </c>
      <c r="H102" s="166">
        <v>499000</v>
      </c>
      <c r="I102" s="158">
        <f t="shared" si="15"/>
        <v>33000</v>
      </c>
      <c r="J102" s="105">
        <v>466000</v>
      </c>
      <c r="K102" s="162">
        <v>33000</v>
      </c>
      <c r="L102" s="163">
        <v>33000</v>
      </c>
      <c r="M102" s="215">
        <f t="shared" si="16"/>
        <v>0</v>
      </c>
      <c r="N102" s="162">
        <f>M102</f>
        <v>0</v>
      </c>
    </row>
    <row r="103" spans="1:14" ht="60" x14ac:dyDescent="0.25">
      <c r="A103" s="93">
        <v>7</v>
      </c>
      <c r="B103" s="65">
        <v>200052</v>
      </c>
      <c r="C103" s="65" t="s">
        <v>215</v>
      </c>
      <c r="D103" s="65" t="s">
        <v>216</v>
      </c>
      <c r="E103" s="355">
        <v>15</v>
      </c>
      <c r="F103" s="72" t="s">
        <v>17</v>
      </c>
      <c r="G103" s="21" t="s">
        <v>204</v>
      </c>
      <c r="H103" s="72">
        <v>180000</v>
      </c>
      <c r="I103" s="158">
        <f t="shared" si="15"/>
        <v>20000</v>
      </c>
      <c r="J103" s="72">
        <v>160000</v>
      </c>
      <c r="K103" s="162">
        <v>20000</v>
      </c>
      <c r="L103" s="163">
        <v>20000</v>
      </c>
      <c r="M103" s="215">
        <f t="shared" si="16"/>
        <v>0</v>
      </c>
      <c r="N103" s="162">
        <f>M103</f>
        <v>0</v>
      </c>
    </row>
    <row r="104" spans="1:14" ht="38.25" x14ac:dyDescent="0.25">
      <c r="A104" s="93">
        <v>8</v>
      </c>
      <c r="B104" s="167">
        <v>200057</v>
      </c>
      <c r="C104" s="79" t="s">
        <v>217</v>
      </c>
      <c r="D104" s="106" t="s">
        <v>218</v>
      </c>
      <c r="E104" s="168">
        <v>15</v>
      </c>
      <c r="F104" s="52" t="s">
        <v>31</v>
      </c>
      <c r="G104" s="105" t="s">
        <v>204</v>
      </c>
      <c r="H104" s="105">
        <v>499500</v>
      </c>
      <c r="I104" s="158">
        <f t="shared" si="15"/>
        <v>193000</v>
      </c>
      <c r="J104" s="105">
        <v>306500</v>
      </c>
      <c r="K104" s="162"/>
      <c r="L104" s="163">
        <f>150000+43000</f>
        <v>193000</v>
      </c>
      <c r="M104" s="215">
        <f t="shared" si="16"/>
        <v>0</v>
      </c>
      <c r="N104" s="162"/>
    </row>
    <row r="105" spans="1:14" ht="38.25" x14ac:dyDescent="0.25">
      <c r="A105" s="93">
        <v>10</v>
      </c>
      <c r="B105" s="167">
        <v>200060</v>
      </c>
      <c r="C105" s="79" t="s">
        <v>221</v>
      </c>
      <c r="D105" s="106" t="s">
        <v>222</v>
      </c>
      <c r="E105" s="168">
        <v>15</v>
      </c>
      <c r="F105" s="52" t="s">
        <v>17</v>
      </c>
      <c r="G105" s="105" t="s">
        <v>204</v>
      </c>
      <c r="H105" s="105">
        <v>411554</v>
      </c>
      <c r="I105" s="158">
        <f t="shared" si="15"/>
        <v>11554</v>
      </c>
      <c r="J105" s="169">
        <f>200000+200000</f>
        <v>400000</v>
      </c>
      <c r="K105" s="162"/>
      <c r="L105" s="163">
        <v>11000</v>
      </c>
      <c r="M105" s="215">
        <f t="shared" si="16"/>
        <v>554</v>
      </c>
      <c r="N105" s="162"/>
    </row>
    <row r="106" spans="1:14" ht="60" x14ac:dyDescent="0.25">
      <c r="A106" s="93">
        <v>12</v>
      </c>
      <c r="B106" s="85">
        <v>200065</v>
      </c>
      <c r="C106" s="52" t="s">
        <v>225</v>
      </c>
      <c r="D106" s="160" t="s">
        <v>226</v>
      </c>
      <c r="E106" s="93">
        <v>15</v>
      </c>
      <c r="F106" s="170" t="s">
        <v>17</v>
      </c>
      <c r="G106" s="60" t="s">
        <v>204</v>
      </c>
      <c r="H106" s="100">
        <v>239000</v>
      </c>
      <c r="I106" s="158">
        <f t="shared" si="15"/>
        <v>99000</v>
      </c>
      <c r="J106" s="100">
        <v>140000</v>
      </c>
      <c r="K106" s="103">
        <v>99000</v>
      </c>
      <c r="L106" s="171">
        <f>99000</f>
        <v>99000</v>
      </c>
      <c r="M106" s="215">
        <f t="shared" si="16"/>
        <v>0</v>
      </c>
      <c r="N106" s="162">
        <f>M106</f>
        <v>0</v>
      </c>
    </row>
    <row r="107" spans="1:14" ht="60" x14ac:dyDescent="0.25">
      <c r="A107" s="93">
        <v>14</v>
      </c>
      <c r="B107" s="172">
        <v>200071</v>
      </c>
      <c r="C107" s="173" t="s">
        <v>229</v>
      </c>
      <c r="D107" s="174" t="s">
        <v>230</v>
      </c>
      <c r="E107" s="361">
        <v>15</v>
      </c>
      <c r="F107" s="72" t="s">
        <v>31</v>
      </c>
      <c r="G107" s="30" t="s">
        <v>204</v>
      </c>
      <c r="H107" s="72">
        <v>500000</v>
      </c>
      <c r="I107" s="158">
        <f t="shared" si="15"/>
        <v>300000</v>
      </c>
      <c r="J107" s="72">
        <v>200000</v>
      </c>
      <c r="K107" s="162">
        <v>100000</v>
      </c>
      <c r="L107" s="163">
        <f>190000+100000</f>
        <v>290000</v>
      </c>
      <c r="M107" s="215">
        <f t="shared" si="16"/>
        <v>10000</v>
      </c>
      <c r="N107" s="162">
        <v>0</v>
      </c>
    </row>
    <row r="108" spans="1:14" ht="60" x14ac:dyDescent="0.25">
      <c r="A108" s="93">
        <v>15</v>
      </c>
      <c r="B108" s="167">
        <v>200072</v>
      </c>
      <c r="C108" s="79" t="s">
        <v>231</v>
      </c>
      <c r="D108" s="106" t="s">
        <v>232</v>
      </c>
      <c r="E108" s="168">
        <v>15</v>
      </c>
      <c r="F108" s="162" t="s">
        <v>31</v>
      </c>
      <c r="G108" s="175" t="s">
        <v>204</v>
      </c>
      <c r="H108" s="105">
        <v>287000</v>
      </c>
      <c r="I108" s="158">
        <f t="shared" si="15"/>
        <v>137000</v>
      </c>
      <c r="J108" s="169">
        <v>150000</v>
      </c>
      <c r="K108" s="176">
        <v>100000</v>
      </c>
      <c r="L108" s="161">
        <v>100000</v>
      </c>
      <c r="M108" s="215">
        <f t="shared" si="16"/>
        <v>37000</v>
      </c>
      <c r="N108" s="162">
        <f>M108</f>
        <v>37000</v>
      </c>
    </row>
    <row r="109" spans="1:14" ht="60" x14ac:dyDescent="0.25">
      <c r="A109" s="93">
        <v>16</v>
      </c>
      <c r="B109" s="65">
        <v>200072</v>
      </c>
      <c r="C109" s="72" t="s">
        <v>233</v>
      </c>
      <c r="D109" s="176" t="s">
        <v>234</v>
      </c>
      <c r="E109" s="167">
        <v>15</v>
      </c>
      <c r="F109" s="72" t="s">
        <v>31</v>
      </c>
      <c r="G109" s="175" t="s">
        <v>204</v>
      </c>
      <c r="H109" s="72">
        <v>268000</v>
      </c>
      <c r="I109" s="158">
        <f t="shared" si="15"/>
        <v>118000</v>
      </c>
      <c r="J109" s="72">
        <v>150000</v>
      </c>
      <c r="K109" s="162">
        <v>88000</v>
      </c>
      <c r="L109" s="163">
        <f>88000</f>
        <v>88000</v>
      </c>
      <c r="M109" s="215">
        <f t="shared" si="16"/>
        <v>30000</v>
      </c>
      <c r="N109" s="162">
        <f>M109</f>
        <v>30000</v>
      </c>
    </row>
    <row r="110" spans="1:14" ht="38.25" x14ac:dyDescent="0.25">
      <c r="A110" s="93">
        <v>17</v>
      </c>
      <c r="B110" s="167">
        <v>200074</v>
      </c>
      <c r="C110" s="79" t="s">
        <v>235</v>
      </c>
      <c r="D110" s="106" t="s">
        <v>232</v>
      </c>
      <c r="E110" s="168">
        <v>15</v>
      </c>
      <c r="F110" s="52" t="s">
        <v>31</v>
      </c>
      <c r="G110" s="105" t="s">
        <v>204</v>
      </c>
      <c r="H110" s="105">
        <v>325000</v>
      </c>
      <c r="I110" s="158">
        <f t="shared" si="15"/>
        <v>175000</v>
      </c>
      <c r="J110" s="177">
        <v>150000</v>
      </c>
      <c r="K110" s="162"/>
      <c r="L110" s="163">
        <f>125000</f>
        <v>125000</v>
      </c>
      <c r="M110" s="215">
        <f t="shared" si="16"/>
        <v>50000</v>
      </c>
      <c r="N110" s="162"/>
    </row>
    <row r="111" spans="1:14" ht="60" x14ac:dyDescent="0.25">
      <c r="A111" s="93">
        <v>18</v>
      </c>
      <c r="B111" s="65">
        <v>200075</v>
      </c>
      <c r="C111" s="72" t="s">
        <v>236</v>
      </c>
      <c r="D111" s="65" t="s">
        <v>232</v>
      </c>
      <c r="E111" s="355">
        <v>15</v>
      </c>
      <c r="F111" s="72" t="s">
        <v>31</v>
      </c>
      <c r="G111" s="60" t="s">
        <v>204</v>
      </c>
      <c r="H111" s="72">
        <v>251000</v>
      </c>
      <c r="I111" s="158">
        <f t="shared" si="15"/>
        <v>101000</v>
      </c>
      <c r="J111" s="72">
        <v>150000</v>
      </c>
      <c r="K111" s="162">
        <v>80000</v>
      </c>
      <c r="L111" s="163">
        <f>80000</f>
        <v>80000</v>
      </c>
      <c r="M111" s="215">
        <f t="shared" si="16"/>
        <v>21000</v>
      </c>
      <c r="N111" s="162">
        <f t="shared" ref="N111:N117" si="17">M111</f>
        <v>21000</v>
      </c>
    </row>
    <row r="112" spans="1:14" ht="60" x14ac:dyDescent="0.25">
      <c r="A112" s="93">
        <v>21</v>
      </c>
      <c r="B112" s="65">
        <v>200084</v>
      </c>
      <c r="C112" s="40" t="s">
        <v>242</v>
      </c>
      <c r="D112" s="65" t="s">
        <v>243</v>
      </c>
      <c r="E112" s="355">
        <v>15</v>
      </c>
      <c r="F112" s="72" t="s">
        <v>17</v>
      </c>
      <c r="G112" s="30" t="s">
        <v>204</v>
      </c>
      <c r="H112" s="72">
        <v>470000</v>
      </c>
      <c r="I112" s="158">
        <f t="shared" si="15"/>
        <v>470000</v>
      </c>
      <c r="J112" s="160">
        <v>0</v>
      </c>
      <c r="K112" s="72">
        <f>150000+150000</f>
        <v>300000</v>
      </c>
      <c r="L112" s="413">
        <f>150000+150000+170000</f>
        <v>470000</v>
      </c>
      <c r="M112" s="215">
        <f t="shared" si="16"/>
        <v>0</v>
      </c>
      <c r="N112" s="162">
        <f t="shared" si="17"/>
        <v>0</v>
      </c>
    </row>
    <row r="113" spans="1:14" ht="60" x14ac:dyDescent="0.25">
      <c r="A113" s="93">
        <v>27</v>
      </c>
      <c r="B113" s="181">
        <v>200093</v>
      </c>
      <c r="C113" s="180" t="s">
        <v>254</v>
      </c>
      <c r="D113" s="180" t="s">
        <v>255</v>
      </c>
      <c r="E113" s="359">
        <v>15</v>
      </c>
      <c r="F113" s="162" t="s">
        <v>17</v>
      </c>
      <c r="G113" s="30" t="s">
        <v>204</v>
      </c>
      <c r="H113" s="162">
        <v>207730</v>
      </c>
      <c r="I113" s="158">
        <f t="shared" si="15"/>
        <v>207730</v>
      </c>
      <c r="J113" s="162">
        <v>0</v>
      </c>
      <c r="K113" s="162">
        <f>70000+70000+67730</f>
        <v>207730</v>
      </c>
      <c r="L113" s="163">
        <f>70000+70000+67730</f>
        <v>207730</v>
      </c>
      <c r="M113" s="215">
        <f t="shared" si="16"/>
        <v>0</v>
      </c>
      <c r="N113" s="162">
        <f t="shared" si="17"/>
        <v>0</v>
      </c>
    </row>
    <row r="114" spans="1:14" ht="60" x14ac:dyDescent="0.25">
      <c r="A114" s="93">
        <v>28</v>
      </c>
      <c r="B114" s="164">
        <v>200094</v>
      </c>
      <c r="C114" s="182" t="s">
        <v>256</v>
      </c>
      <c r="D114" s="180" t="s">
        <v>257</v>
      </c>
      <c r="E114" s="359">
        <v>15</v>
      </c>
      <c r="F114" s="72" t="s">
        <v>31</v>
      </c>
      <c r="G114" s="175" t="s">
        <v>204</v>
      </c>
      <c r="H114" s="72">
        <v>251120</v>
      </c>
      <c r="I114" s="158">
        <f t="shared" si="15"/>
        <v>251120</v>
      </c>
      <c r="J114" s="72">
        <v>0</v>
      </c>
      <c r="K114" s="162">
        <v>85000</v>
      </c>
      <c r="L114" s="413">
        <f>85000+85000</f>
        <v>170000</v>
      </c>
      <c r="M114" s="215">
        <f t="shared" si="16"/>
        <v>81120</v>
      </c>
      <c r="N114" s="162">
        <f t="shared" si="17"/>
        <v>81120</v>
      </c>
    </row>
    <row r="115" spans="1:14" ht="60" x14ac:dyDescent="0.25">
      <c r="A115" s="93">
        <v>33</v>
      </c>
      <c r="B115" s="187">
        <v>200103</v>
      </c>
      <c r="C115" s="188" t="s">
        <v>263</v>
      </c>
      <c r="D115" s="189" t="s">
        <v>264</v>
      </c>
      <c r="E115" s="359">
        <v>15</v>
      </c>
      <c r="F115" s="72" t="s">
        <v>31</v>
      </c>
      <c r="G115" s="67" t="s">
        <v>204</v>
      </c>
      <c r="H115" s="72">
        <v>378244</v>
      </c>
      <c r="I115" s="158">
        <f t="shared" si="15"/>
        <v>378244</v>
      </c>
      <c r="J115" s="72">
        <v>0</v>
      </c>
      <c r="K115" s="162">
        <v>126000</v>
      </c>
      <c r="L115" s="413">
        <f>126000+150000+86000</f>
        <v>362000</v>
      </c>
      <c r="M115" s="215">
        <f t="shared" si="16"/>
        <v>16244</v>
      </c>
      <c r="N115" s="162">
        <f t="shared" si="17"/>
        <v>16244</v>
      </c>
    </row>
    <row r="116" spans="1:14" ht="60" x14ac:dyDescent="0.25">
      <c r="A116" s="93">
        <v>36</v>
      </c>
      <c r="B116" s="164">
        <v>200109</v>
      </c>
      <c r="C116" s="182" t="s">
        <v>271</v>
      </c>
      <c r="D116" s="190" t="s">
        <v>272</v>
      </c>
      <c r="E116" s="356">
        <v>15</v>
      </c>
      <c r="F116" s="72" t="s">
        <v>31</v>
      </c>
      <c r="G116" s="30" t="s">
        <v>204</v>
      </c>
      <c r="H116" s="72">
        <v>462274</v>
      </c>
      <c r="I116" s="158">
        <f t="shared" si="15"/>
        <v>462274</v>
      </c>
      <c r="J116" s="72">
        <v>0</v>
      </c>
      <c r="K116" s="162">
        <f>154000+150000</f>
        <v>304000</v>
      </c>
      <c r="L116" s="413">
        <f>154000+150000+110000</f>
        <v>414000</v>
      </c>
      <c r="M116" s="215">
        <f t="shared" si="16"/>
        <v>48274</v>
      </c>
      <c r="N116" s="162">
        <f t="shared" si="17"/>
        <v>48274</v>
      </c>
    </row>
    <row r="117" spans="1:14" ht="75" x14ac:dyDescent="0.25">
      <c r="A117" s="93">
        <v>37</v>
      </c>
      <c r="B117" s="164">
        <v>200110</v>
      </c>
      <c r="C117" s="182" t="s">
        <v>273</v>
      </c>
      <c r="D117" s="190" t="s">
        <v>274</v>
      </c>
      <c r="E117" s="356">
        <v>15</v>
      </c>
      <c r="F117" s="72" t="s">
        <v>17</v>
      </c>
      <c r="G117" s="52" t="s">
        <v>204</v>
      </c>
      <c r="H117" s="72">
        <v>734000</v>
      </c>
      <c r="I117" s="158">
        <f t="shared" si="15"/>
        <v>734000</v>
      </c>
      <c r="J117" s="72">
        <v>0</v>
      </c>
      <c r="K117" s="162">
        <f>244000+244000+246000</f>
        <v>734000</v>
      </c>
      <c r="L117" s="163">
        <f>244000+244000+246000</f>
        <v>734000</v>
      </c>
      <c r="M117" s="215">
        <f t="shared" si="16"/>
        <v>0</v>
      </c>
      <c r="N117" s="162">
        <f t="shared" si="17"/>
        <v>0</v>
      </c>
    </row>
    <row r="118" spans="1:14" ht="60" x14ac:dyDescent="0.25">
      <c r="A118" s="93">
        <v>38</v>
      </c>
      <c r="B118" s="164">
        <v>200111</v>
      </c>
      <c r="C118" s="182" t="s">
        <v>275</v>
      </c>
      <c r="D118" s="191" t="s">
        <v>276</v>
      </c>
      <c r="E118" s="362">
        <v>15</v>
      </c>
      <c r="F118" s="72" t="s">
        <v>31</v>
      </c>
      <c r="G118" s="186" t="s">
        <v>204</v>
      </c>
      <c r="H118" s="72">
        <v>894745</v>
      </c>
      <c r="I118" s="158">
        <f t="shared" si="15"/>
        <v>894745</v>
      </c>
      <c r="J118" s="72">
        <v>0</v>
      </c>
      <c r="K118" s="162">
        <v>298000</v>
      </c>
      <c r="L118" s="413">
        <f>298000+300000</f>
        <v>598000</v>
      </c>
      <c r="M118" s="215">
        <f t="shared" si="16"/>
        <v>296745</v>
      </c>
      <c r="N118" s="162">
        <f>M118/3</f>
        <v>98915</v>
      </c>
    </row>
    <row r="119" spans="1:14" ht="75" x14ac:dyDescent="0.25">
      <c r="A119" s="93">
        <v>40</v>
      </c>
      <c r="B119" s="164">
        <v>200113</v>
      </c>
      <c r="C119" s="182" t="s">
        <v>279</v>
      </c>
      <c r="D119" s="190" t="s">
        <v>280</v>
      </c>
      <c r="E119" s="356">
        <v>15</v>
      </c>
      <c r="F119" s="72" t="s">
        <v>31</v>
      </c>
      <c r="G119" s="41" t="s">
        <v>204</v>
      </c>
      <c r="H119" s="72">
        <v>500000</v>
      </c>
      <c r="I119" s="158">
        <f t="shared" si="15"/>
        <v>500000</v>
      </c>
      <c r="J119" s="72">
        <v>0</v>
      </c>
      <c r="K119" s="162">
        <f>170000+170000</f>
        <v>340000</v>
      </c>
      <c r="L119" s="163">
        <f>170000+170000</f>
        <v>340000</v>
      </c>
      <c r="M119" s="215">
        <f t="shared" si="16"/>
        <v>160000</v>
      </c>
      <c r="N119" s="162">
        <f>M119</f>
        <v>160000</v>
      </c>
    </row>
    <row r="120" spans="1:14" ht="75" x14ac:dyDescent="0.25">
      <c r="A120" s="93">
        <v>45</v>
      </c>
      <c r="B120" s="131">
        <v>1617200007</v>
      </c>
      <c r="C120" s="195" t="s">
        <v>291</v>
      </c>
      <c r="D120" s="190" t="s">
        <v>292</v>
      </c>
      <c r="E120" s="356">
        <v>15</v>
      </c>
      <c r="F120" s="72" t="s">
        <v>31</v>
      </c>
      <c r="G120" s="67" t="s">
        <v>204</v>
      </c>
      <c r="H120" s="72">
        <v>363399</v>
      </c>
      <c r="I120" s="158">
        <f t="shared" si="15"/>
        <v>363399</v>
      </c>
      <c r="J120" s="72">
        <v>0</v>
      </c>
      <c r="K120" s="162">
        <v>120000</v>
      </c>
      <c r="L120" s="163">
        <f>120000+120000</f>
        <v>240000</v>
      </c>
      <c r="M120" s="215">
        <f t="shared" si="16"/>
        <v>123399</v>
      </c>
      <c r="N120" s="162">
        <f>M120</f>
        <v>123399</v>
      </c>
    </row>
    <row r="121" spans="1:14" ht="60" x14ac:dyDescent="0.25">
      <c r="A121" s="93">
        <v>46</v>
      </c>
      <c r="B121" s="187">
        <v>1617200008</v>
      </c>
      <c r="C121" s="188" t="s">
        <v>293</v>
      </c>
      <c r="D121" s="189" t="s">
        <v>294</v>
      </c>
      <c r="E121" s="359">
        <v>15</v>
      </c>
      <c r="F121" s="72" t="s">
        <v>31</v>
      </c>
      <c r="G121" s="67" t="s">
        <v>204</v>
      </c>
      <c r="H121" s="72">
        <v>397413</v>
      </c>
      <c r="I121" s="158">
        <f t="shared" si="15"/>
        <v>397413</v>
      </c>
      <c r="J121" s="72">
        <v>0</v>
      </c>
      <c r="K121" s="162">
        <v>130000</v>
      </c>
      <c r="L121" s="163">
        <f>130000+150000</f>
        <v>280000</v>
      </c>
      <c r="M121" s="215">
        <f t="shared" si="16"/>
        <v>117413</v>
      </c>
      <c r="N121" s="162">
        <f>M121</f>
        <v>117413</v>
      </c>
    </row>
    <row r="122" spans="1:14" ht="45" x14ac:dyDescent="0.25">
      <c r="A122" s="93">
        <v>49</v>
      </c>
      <c r="B122" s="72">
        <v>1617200016</v>
      </c>
      <c r="C122" s="65" t="s">
        <v>304</v>
      </c>
      <c r="D122" s="65" t="s">
        <v>305</v>
      </c>
      <c r="E122" s="355">
        <v>15</v>
      </c>
      <c r="F122" s="162" t="s">
        <v>31</v>
      </c>
      <c r="G122" s="85" t="s">
        <v>204</v>
      </c>
      <c r="H122" s="72">
        <v>170602</v>
      </c>
      <c r="I122" s="158">
        <f t="shared" si="15"/>
        <v>170602</v>
      </c>
      <c r="J122" s="162">
        <v>0</v>
      </c>
      <c r="K122" s="162">
        <f>85000+80000</f>
        <v>165000</v>
      </c>
      <c r="L122" s="163">
        <f>85000+80000</f>
        <v>165000</v>
      </c>
      <c r="M122" s="215">
        <f t="shared" si="16"/>
        <v>5602</v>
      </c>
      <c r="N122" s="162">
        <v>0</v>
      </c>
    </row>
    <row r="123" spans="1:14" ht="38.25" x14ac:dyDescent="0.25">
      <c r="A123" s="93">
        <v>54</v>
      </c>
      <c r="B123" s="72">
        <v>1617200023</v>
      </c>
      <c r="C123" s="72" t="s">
        <v>317</v>
      </c>
      <c r="D123" s="65" t="s">
        <v>318</v>
      </c>
      <c r="E123" s="355">
        <v>15</v>
      </c>
      <c r="F123" s="72" t="s">
        <v>31</v>
      </c>
      <c r="G123" s="76" t="s">
        <v>204</v>
      </c>
      <c r="H123" s="72">
        <v>319150</v>
      </c>
      <c r="I123" s="158">
        <f t="shared" si="15"/>
        <v>319150</v>
      </c>
      <c r="J123" s="72">
        <v>0</v>
      </c>
      <c r="K123" s="162">
        <f>119000</f>
        <v>119000</v>
      </c>
      <c r="L123" s="163">
        <f>119000+150000</f>
        <v>269000</v>
      </c>
      <c r="M123" s="215">
        <f t="shared" si="16"/>
        <v>50150</v>
      </c>
      <c r="N123" s="162">
        <f>M123</f>
        <v>50150</v>
      </c>
    </row>
    <row r="124" spans="1:14" ht="75" x14ac:dyDescent="0.25">
      <c r="A124" s="93">
        <v>55</v>
      </c>
      <c r="B124" s="72">
        <v>1617200024</v>
      </c>
      <c r="C124" s="65" t="s">
        <v>319</v>
      </c>
      <c r="D124" s="40" t="s">
        <v>320</v>
      </c>
      <c r="E124" s="342">
        <v>15</v>
      </c>
      <c r="F124" s="72" t="s">
        <v>31</v>
      </c>
      <c r="G124" s="195" t="s">
        <v>204</v>
      </c>
      <c r="H124" s="72">
        <v>444200</v>
      </c>
      <c r="I124" s="158">
        <f t="shared" si="15"/>
        <v>444200</v>
      </c>
      <c r="J124" s="72">
        <v>0</v>
      </c>
      <c r="K124" s="162">
        <v>148000</v>
      </c>
      <c r="L124" s="413">
        <f>148000+180000</f>
        <v>328000</v>
      </c>
      <c r="M124" s="215">
        <f t="shared" si="16"/>
        <v>116200</v>
      </c>
      <c r="N124" s="162">
        <f>M124/2</f>
        <v>58100</v>
      </c>
    </row>
    <row r="125" spans="1:14" ht="45" x14ac:dyDescent="0.25">
      <c r="A125" s="93">
        <v>56</v>
      </c>
      <c r="B125" s="72">
        <v>1617200025</v>
      </c>
      <c r="C125" s="65" t="s">
        <v>321</v>
      </c>
      <c r="D125" s="65" t="s">
        <v>322</v>
      </c>
      <c r="E125" s="355">
        <v>15</v>
      </c>
      <c r="F125" s="72" t="s">
        <v>31</v>
      </c>
      <c r="G125" s="76" t="s">
        <v>204</v>
      </c>
      <c r="H125" s="72">
        <v>593034</v>
      </c>
      <c r="I125" s="158">
        <f t="shared" si="15"/>
        <v>593034</v>
      </c>
      <c r="J125" s="72">
        <v>0</v>
      </c>
      <c r="K125" s="162">
        <v>200000</v>
      </c>
      <c r="L125" s="413">
        <f>200000+300000</f>
        <v>500000</v>
      </c>
      <c r="M125" s="215">
        <f t="shared" si="16"/>
        <v>93034</v>
      </c>
      <c r="N125" s="162">
        <f>M125/2</f>
        <v>46517</v>
      </c>
    </row>
    <row r="126" spans="1:14" ht="60" x14ac:dyDescent="0.25">
      <c r="A126" s="93">
        <v>57</v>
      </c>
      <c r="B126" s="72">
        <v>1617200026</v>
      </c>
      <c r="C126" s="65" t="s">
        <v>323</v>
      </c>
      <c r="D126" s="40" t="s">
        <v>324</v>
      </c>
      <c r="E126" s="342">
        <v>15</v>
      </c>
      <c r="F126" s="72" t="s">
        <v>31</v>
      </c>
      <c r="G126" s="67" t="s">
        <v>204</v>
      </c>
      <c r="H126" s="72">
        <v>173290</v>
      </c>
      <c r="I126" s="158">
        <f t="shared" si="15"/>
        <v>173290</v>
      </c>
      <c r="J126" s="72">
        <v>0</v>
      </c>
      <c r="K126" s="162">
        <v>60000</v>
      </c>
      <c r="L126" s="413">
        <f>60000+80000</f>
        <v>140000</v>
      </c>
      <c r="M126" s="215">
        <f t="shared" si="16"/>
        <v>33290</v>
      </c>
      <c r="N126" s="162">
        <f>M126</f>
        <v>33290</v>
      </c>
    </row>
    <row r="127" spans="1:14" ht="60" x14ac:dyDescent="0.25">
      <c r="A127" s="93">
        <v>58</v>
      </c>
      <c r="B127" s="72">
        <v>1617200027</v>
      </c>
      <c r="C127" s="195" t="s">
        <v>325</v>
      </c>
      <c r="D127" s="40" t="s">
        <v>326</v>
      </c>
      <c r="E127" s="342">
        <v>15</v>
      </c>
      <c r="F127" s="72" t="s">
        <v>31</v>
      </c>
      <c r="G127" s="67" t="s">
        <v>204</v>
      </c>
      <c r="H127" s="72">
        <v>260712</v>
      </c>
      <c r="I127" s="158">
        <f t="shared" si="15"/>
        <v>260712</v>
      </c>
      <c r="J127" s="72">
        <v>0</v>
      </c>
      <c r="K127" s="162">
        <v>80000</v>
      </c>
      <c r="L127" s="413">
        <f>80000+100000</f>
        <v>180000</v>
      </c>
      <c r="M127" s="215">
        <f t="shared" si="16"/>
        <v>80712</v>
      </c>
      <c r="N127" s="162">
        <f>M127</f>
        <v>80712</v>
      </c>
    </row>
    <row r="128" spans="1:14" ht="60" x14ac:dyDescent="0.25">
      <c r="A128" s="93">
        <v>59</v>
      </c>
      <c r="B128" s="72">
        <v>1617200028</v>
      </c>
      <c r="C128" s="195" t="s">
        <v>327</v>
      </c>
      <c r="D128" s="199" t="s">
        <v>328</v>
      </c>
      <c r="E128" s="363">
        <v>15</v>
      </c>
      <c r="F128" s="72" t="s">
        <v>31</v>
      </c>
      <c r="G128" s="67" t="s">
        <v>204</v>
      </c>
      <c r="H128" s="72">
        <v>302126</v>
      </c>
      <c r="I128" s="158">
        <f t="shared" si="15"/>
        <v>302126</v>
      </c>
      <c r="J128" s="72">
        <v>0</v>
      </c>
      <c r="K128" s="162">
        <v>100000</v>
      </c>
      <c r="L128" s="163">
        <v>100000</v>
      </c>
      <c r="M128" s="215">
        <f t="shared" si="16"/>
        <v>202126</v>
      </c>
      <c r="N128" s="162">
        <f>M128</f>
        <v>202126</v>
      </c>
    </row>
    <row r="129" spans="1:21" ht="60" x14ac:dyDescent="0.25">
      <c r="A129" s="93">
        <v>60</v>
      </c>
      <c r="B129" s="72">
        <v>1617200031</v>
      </c>
      <c r="C129" s="72" t="s">
        <v>332</v>
      </c>
      <c r="D129" s="40" t="s">
        <v>333</v>
      </c>
      <c r="E129" s="342">
        <v>15</v>
      </c>
      <c r="F129" s="72" t="s">
        <v>31</v>
      </c>
      <c r="G129" s="67" t="s">
        <v>204</v>
      </c>
      <c r="H129" s="72">
        <v>447570</v>
      </c>
      <c r="I129" s="158">
        <f t="shared" si="15"/>
        <v>447570</v>
      </c>
      <c r="J129" s="72">
        <v>0</v>
      </c>
      <c r="K129" s="162">
        <v>150000</v>
      </c>
      <c r="L129" s="413">
        <f>150000+200000</f>
        <v>350000</v>
      </c>
      <c r="M129" s="215">
        <f t="shared" si="16"/>
        <v>97570</v>
      </c>
      <c r="N129" s="162">
        <f>M129/2</f>
        <v>48785</v>
      </c>
    </row>
    <row r="130" spans="1:21" ht="60" x14ac:dyDescent="0.25">
      <c r="A130" s="93">
        <v>62</v>
      </c>
      <c r="B130" s="72">
        <v>1617200033</v>
      </c>
      <c r="C130" s="65" t="s">
        <v>335</v>
      </c>
      <c r="D130" s="40" t="s">
        <v>336</v>
      </c>
      <c r="E130" s="342">
        <v>15</v>
      </c>
      <c r="F130" s="72" t="s">
        <v>31</v>
      </c>
      <c r="G130" s="40" t="s">
        <v>204</v>
      </c>
      <c r="H130" s="72">
        <v>302331</v>
      </c>
      <c r="I130" s="158">
        <f t="shared" si="15"/>
        <v>302331</v>
      </c>
      <c r="J130" s="72">
        <v>0</v>
      </c>
      <c r="K130" s="162">
        <f>100000+120000</f>
        <v>220000</v>
      </c>
      <c r="L130" s="163">
        <f>100000+120000</f>
        <v>220000</v>
      </c>
      <c r="M130" s="215">
        <f t="shared" si="16"/>
        <v>82331</v>
      </c>
      <c r="N130" s="162">
        <f>M130</f>
        <v>82331</v>
      </c>
    </row>
    <row r="131" spans="1:21" ht="105" x14ac:dyDescent="0.25">
      <c r="A131" s="93">
        <v>66</v>
      </c>
      <c r="B131" s="67">
        <v>1617200044</v>
      </c>
      <c r="C131" s="67" t="s">
        <v>352</v>
      </c>
      <c r="D131" s="67" t="s">
        <v>353</v>
      </c>
      <c r="E131" s="353">
        <v>15</v>
      </c>
      <c r="F131" s="72" t="s">
        <v>31</v>
      </c>
      <c r="G131" s="85" t="s">
        <v>204</v>
      </c>
      <c r="H131" s="68">
        <v>690000</v>
      </c>
      <c r="I131" s="158">
        <f t="shared" si="15"/>
        <v>690000</v>
      </c>
      <c r="J131" s="162">
        <v>0</v>
      </c>
      <c r="K131" s="162"/>
      <c r="L131" s="163">
        <f>230000</f>
        <v>230000</v>
      </c>
      <c r="M131" s="215">
        <f t="shared" si="16"/>
        <v>460000</v>
      </c>
      <c r="N131" s="162">
        <v>0</v>
      </c>
    </row>
    <row r="132" spans="1:21" ht="60" x14ac:dyDescent="0.25">
      <c r="A132" s="93">
        <v>67</v>
      </c>
      <c r="B132" s="67">
        <v>1617200046</v>
      </c>
      <c r="C132" s="67" t="s">
        <v>354</v>
      </c>
      <c r="D132" s="67" t="s">
        <v>355</v>
      </c>
      <c r="E132" s="353">
        <v>15</v>
      </c>
      <c r="F132" s="162" t="s">
        <v>31</v>
      </c>
      <c r="G132" s="85" t="s">
        <v>204</v>
      </c>
      <c r="H132" s="67">
        <v>300000</v>
      </c>
      <c r="I132" s="158">
        <f t="shared" si="15"/>
        <v>300000</v>
      </c>
      <c r="J132" s="162">
        <v>0</v>
      </c>
      <c r="K132" s="162">
        <f>130000</f>
        <v>130000</v>
      </c>
      <c r="L132" s="413">
        <f>130000+150000</f>
        <v>280000</v>
      </c>
      <c r="M132" s="215">
        <f t="shared" si="16"/>
        <v>20000</v>
      </c>
      <c r="N132" s="162">
        <f>M132</f>
        <v>20000</v>
      </c>
    </row>
    <row r="133" spans="1:21" ht="51" x14ac:dyDescent="0.25">
      <c r="A133" s="93">
        <v>69</v>
      </c>
      <c r="B133" s="167">
        <v>1617200051</v>
      </c>
      <c r="C133" s="79" t="s">
        <v>361</v>
      </c>
      <c r="D133" s="176" t="s">
        <v>362</v>
      </c>
      <c r="E133" s="167">
        <v>15</v>
      </c>
      <c r="F133" s="162" t="s">
        <v>31</v>
      </c>
      <c r="G133" s="61" t="s">
        <v>204</v>
      </c>
      <c r="H133" s="176">
        <v>386000</v>
      </c>
      <c r="I133" s="158">
        <f t="shared" si="15"/>
        <v>386000</v>
      </c>
      <c r="J133" s="162">
        <v>0</v>
      </c>
      <c r="K133" s="162">
        <v>0</v>
      </c>
      <c r="L133" s="413">
        <f>125000+180000</f>
        <v>305000</v>
      </c>
      <c r="M133" s="215">
        <f t="shared" si="16"/>
        <v>81000</v>
      </c>
      <c r="N133" s="162">
        <v>0</v>
      </c>
    </row>
    <row r="134" spans="1:21" ht="38.25" x14ac:dyDescent="0.25">
      <c r="A134" s="93">
        <v>92</v>
      </c>
      <c r="B134" s="141">
        <v>1617200061</v>
      </c>
      <c r="C134" s="213" t="s">
        <v>376</v>
      </c>
      <c r="D134" s="141" t="s">
        <v>377</v>
      </c>
      <c r="E134" s="294">
        <v>15</v>
      </c>
      <c r="F134" s="204" t="s">
        <v>31</v>
      </c>
      <c r="G134" s="213" t="s">
        <v>204</v>
      </c>
      <c r="H134" s="141">
        <v>462000</v>
      </c>
      <c r="I134" s="214">
        <f t="shared" si="15"/>
        <v>462000</v>
      </c>
      <c r="J134" s="204">
        <v>0</v>
      </c>
      <c r="K134" s="204">
        <v>0</v>
      </c>
      <c r="L134" s="413">
        <v>150000</v>
      </c>
      <c r="M134" s="216">
        <f t="shared" si="16"/>
        <v>312000</v>
      </c>
      <c r="N134" s="162">
        <v>0</v>
      </c>
      <c r="R134" s="62"/>
      <c r="S134" s="62"/>
      <c r="T134" s="62"/>
      <c r="U134" s="62"/>
    </row>
    <row r="135" spans="1:21" ht="105" x14ac:dyDescent="0.25">
      <c r="A135" s="93">
        <v>75</v>
      </c>
      <c r="B135" s="112">
        <v>1617200002</v>
      </c>
      <c r="C135" s="112" t="s">
        <v>285</v>
      </c>
      <c r="D135" s="112" t="s">
        <v>286</v>
      </c>
      <c r="E135" s="380">
        <v>15</v>
      </c>
      <c r="F135" s="204" t="s">
        <v>31</v>
      </c>
      <c r="G135" s="210" t="s">
        <v>204</v>
      </c>
      <c r="H135" s="114">
        <v>573872</v>
      </c>
      <c r="I135" s="214">
        <f t="shared" si="15"/>
        <v>573872</v>
      </c>
      <c r="J135" s="204">
        <v>0</v>
      </c>
      <c r="K135" s="204">
        <v>0</v>
      </c>
      <c r="L135" s="413">
        <v>250000</v>
      </c>
      <c r="M135" s="216">
        <f t="shared" si="16"/>
        <v>323872</v>
      </c>
      <c r="N135" s="162">
        <v>0</v>
      </c>
    </row>
    <row r="136" spans="1:21" ht="51" x14ac:dyDescent="0.25">
      <c r="A136" s="93"/>
      <c r="B136" s="112">
        <v>1617200048</v>
      </c>
      <c r="C136" s="79" t="s">
        <v>906</v>
      </c>
      <c r="D136" s="176" t="s">
        <v>905</v>
      </c>
      <c r="E136" s="380">
        <v>15</v>
      </c>
      <c r="F136" s="204" t="s">
        <v>31</v>
      </c>
      <c r="G136" s="210" t="s">
        <v>204</v>
      </c>
      <c r="H136" s="176"/>
      <c r="I136" s="158">
        <v>384900</v>
      </c>
      <c r="J136" s="162">
        <v>0</v>
      </c>
      <c r="K136" s="162"/>
      <c r="L136" s="413">
        <v>200000</v>
      </c>
      <c r="M136" s="215">
        <f>I136-L136</f>
        <v>184900</v>
      </c>
      <c r="N136" s="162"/>
    </row>
    <row r="137" spans="1:21" ht="38.25" x14ac:dyDescent="0.25">
      <c r="A137" s="93"/>
      <c r="B137" s="112">
        <v>1617200064</v>
      </c>
      <c r="C137" s="79" t="s">
        <v>908</v>
      </c>
      <c r="D137" s="176" t="s">
        <v>907</v>
      </c>
      <c r="E137" s="380">
        <v>16</v>
      </c>
      <c r="F137" s="204" t="s">
        <v>31</v>
      </c>
      <c r="G137" s="210" t="s">
        <v>204</v>
      </c>
      <c r="H137" s="176"/>
      <c r="I137" s="158">
        <v>483000</v>
      </c>
      <c r="J137" s="162">
        <v>0</v>
      </c>
      <c r="K137" s="162"/>
      <c r="L137" s="413">
        <v>200000</v>
      </c>
      <c r="M137" s="215">
        <f>I137-L137</f>
        <v>283000</v>
      </c>
      <c r="N137" s="162"/>
    </row>
    <row r="138" spans="1:21" ht="51" x14ac:dyDescent="0.25">
      <c r="A138" s="93">
        <v>86</v>
      </c>
      <c r="B138" s="141">
        <v>1617200050</v>
      </c>
      <c r="C138" s="141" t="s">
        <v>359</v>
      </c>
      <c r="D138" s="141" t="s">
        <v>360</v>
      </c>
      <c r="E138" s="294">
        <v>15</v>
      </c>
      <c r="F138" s="204" t="s">
        <v>31</v>
      </c>
      <c r="G138" s="213" t="s">
        <v>204</v>
      </c>
      <c r="H138" s="141">
        <v>416400</v>
      </c>
      <c r="I138" s="214">
        <f t="shared" ref="I138:I174" si="18">H138-J138</f>
        <v>416400</v>
      </c>
      <c r="J138" s="204">
        <v>0</v>
      </c>
      <c r="K138" s="204">
        <v>0</v>
      </c>
      <c r="L138" s="413">
        <v>138000</v>
      </c>
      <c r="M138" s="216">
        <f t="shared" ref="M138:M174" si="19">H138-(J138+L138)</f>
        <v>278400</v>
      </c>
      <c r="N138" s="162">
        <v>0</v>
      </c>
    </row>
    <row r="139" spans="1:21" ht="105" x14ac:dyDescent="0.25">
      <c r="A139" s="93">
        <v>83</v>
      </c>
      <c r="B139" s="112">
        <v>1617200042</v>
      </c>
      <c r="C139" s="112" t="s">
        <v>348</v>
      </c>
      <c r="D139" s="112" t="s">
        <v>349</v>
      </c>
      <c r="E139" s="380">
        <v>15</v>
      </c>
      <c r="F139" s="204" t="s">
        <v>31</v>
      </c>
      <c r="G139" s="210"/>
      <c r="H139" s="114">
        <v>380000</v>
      </c>
      <c r="I139" s="214">
        <f t="shared" si="18"/>
        <v>380000</v>
      </c>
      <c r="J139" s="204">
        <v>0</v>
      </c>
      <c r="K139" s="204">
        <v>0</v>
      </c>
      <c r="L139" s="413">
        <v>150000</v>
      </c>
      <c r="M139" s="216">
        <f t="shared" si="19"/>
        <v>230000</v>
      </c>
      <c r="N139" s="162">
        <v>0</v>
      </c>
    </row>
    <row r="140" spans="1:21" ht="90" x14ac:dyDescent="0.25">
      <c r="A140" s="93">
        <v>82</v>
      </c>
      <c r="B140" s="112">
        <v>1617200041</v>
      </c>
      <c r="C140" s="112" t="s">
        <v>346</v>
      </c>
      <c r="D140" s="112" t="s">
        <v>347</v>
      </c>
      <c r="E140" s="380">
        <v>15</v>
      </c>
      <c r="F140" s="204" t="s">
        <v>31</v>
      </c>
      <c r="G140" s="210" t="s">
        <v>204</v>
      </c>
      <c r="H140" s="114">
        <v>344700</v>
      </c>
      <c r="I140" s="214">
        <f>H140-J140</f>
        <v>344700</v>
      </c>
      <c r="J140" s="204">
        <v>0</v>
      </c>
      <c r="K140" s="204">
        <v>0</v>
      </c>
      <c r="L140" s="430"/>
      <c r="M140" s="216">
        <f>H140-(J140+L140)</f>
        <v>344700</v>
      </c>
      <c r="N140" s="162">
        <v>0</v>
      </c>
    </row>
    <row r="141" spans="1:21" ht="60" x14ac:dyDescent="0.25">
      <c r="A141" s="93">
        <v>1</v>
      </c>
      <c r="B141" s="157">
        <v>200011</v>
      </c>
      <c r="C141" s="132" t="s">
        <v>202</v>
      </c>
      <c r="D141" s="106" t="s">
        <v>203</v>
      </c>
      <c r="E141" s="168">
        <v>16</v>
      </c>
      <c r="F141" s="72" t="s">
        <v>17</v>
      </c>
      <c r="G141" s="47" t="s">
        <v>204</v>
      </c>
      <c r="H141" s="158">
        <v>924600</v>
      </c>
      <c r="I141" s="158">
        <f t="shared" si="18"/>
        <v>74600</v>
      </c>
      <c r="J141" s="159">
        <f>600000+250000</f>
        <v>850000</v>
      </c>
      <c r="K141" s="160">
        <v>74600</v>
      </c>
      <c r="L141" s="217">
        <v>74600</v>
      </c>
      <c r="M141" s="215">
        <f t="shared" si="19"/>
        <v>0</v>
      </c>
      <c r="N141" s="162">
        <f>M141</f>
        <v>0</v>
      </c>
    </row>
    <row r="142" spans="1:21" ht="75" x14ac:dyDescent="0.25">
      <c r="A142" s="93">
        <v>30</v>
      </c>
      <c r="B142" s="65">
        <v>200097</v>
      </c>
      <c r="C142" s="72" t="s">
        <v>259</v>
      </c>
      <c r="D142" s="65" t="s">
        <v>260</v>
      </c>
      <c r="E142" s="355">
        <v>16</v>
      </c>
      <c r="F142" s="72" t="s">
        <v>31</v>
      </c>
      <c r="G142" s="61" t="s">
        <v>204</v>
      </c>
      <c r="H142" s="72">
        <v>901600</v>
      </c>
      <c r="I142" s="158">
        <f t="shared" si="18"/>
        <v>901600</v>
      </c>
      <c r="J142" s="72">
        <v>0</v>
      </c>
      <c r="K142" s="183">
        <v>600000</v>
      </c>
      <c r="L142" s="414">
        <f>600000+150000</f>
        <v>750000</v>
      </c>
      <c r="M142" s="215">
        <f t="shared" si="19"/>
        <v>151600</v>
      </c>
      <c r="N142" s="162">
        <f>M142</f>
        <v>151600</v>
      </c>
    </row>
    <row r="143" spans="1:21" ht="90" x14ac:dyDescent="0.25">
      <c r="A143" s="93">
        <v>24</v>
      </c>
      <c r="B143" s="164">
        <v>200088</v>
      </c>
      <c r="C143" s="41" t="s">
        <v>248</v>
      </c>
      <c r="D143" s="41" t="s">
        <v>249</v>
      </c>
      <c r="E143" s="364">
        <v>17</v>
      </c>
      <c r="F143" s="72" t="s">
        <v>31</v>
      </c>
      <c r="G143" s="65" t="s">
        <v>204</v>
      </c>
      <c r="H143" s="72">
        <f>259000*5</f>
        <v>1295000</v>
      </c>
      <c r="I143" s="158">
        <f t="shared" si="18"/>
        <v>1295000</v>
      </c>
      <c r="J143" s="72">
        <v>0</v>
      </c>
      <c r="K143" s="162">
        <f>74000*5</f>
        <v>370000</v>
      </c>
      <c r="L143" s="413">
        <f>74000*5+ 74000</f>
        <v>444000</v>
      </c>
      <c r="M143" s="215">
        <f t="shared" si="19"/>
        <v>851000</v>
      </c>
      <c r="N143" s="162">
        <v>0</v>
      </c>
    </row>
    <row r="144" spans="1:21" ht="60" x14ac:dyDescent="0.25">
      <c r="A144" s="93">
        <v>51</v>
      </c>
      <c r="B144" s="131">
        <v>1617200019</v>
      </c>
      <c r="C144" s="182" t="s">
        <v>309</v>
      </c>
      <c r="D144" s="40" t="s">
        <v>310</v>
      </c>
      <c r="E144" s="342">
        <v>17</v>
      </c>
      <c r="F144" s="72" t="s">
        <v>20</v>
      </c>
      <c r="G144" s="65" t="s">
        <v>204</v>
      </c>
      <c r="H144" s="72">
        <v>30000</v>
      </c>
      <c r="I144" s="158">
        <f t="shared" si="18"/>
        <v>30000</v>
      </c>
      <c r="J144" s="72">
        <v>0</v>
      </c>
      <c r="K144" s="162">
        <v>30000</v>
      </c>
      <c r="L144" s="163">
        <v>30000</v>
      </c>
      <c r="M144" s="215">
        <f t="shared" si="19"/>
        <v>0</v>
      </c>
      <c r="N144" s="162">
        <f>M144</f>
        <v>0</v>
      </c>
    </row>
    <row r="145" spans="1:21" ht="60" x14ac:dyDescent="0.25">
      <c r="A145" s="93">
        <v>64</v>
      </c>
      <c r="B145" s="67">
        <v>1617200039</v>
      </c>
      <c r="C145" s="67" t="s">
        <v>343</v>
      </c>
      <c r="D145" s="67" t="s">
        <v>344</v>
      </c>
      <c r="E145" s="353">
        <v>17</v>
      </c>
      <c r="F145" s="162" t="s">
        <v>31</v>
      </c>
      <c r="G145" s="85" t="s">
        <v>204</v>
      </c>
      <c r="H145" s="68">
        <v>150000</v>
      </c>
      <c r="I145" s="158">
        <f t="shared" si="18"/>
        <v>150000</v>
      </c>
      <c r="J145" s="162">
        <v>0</v>
      </c>
      <c r="K145" s="162">
        <v>0</v>
      </c>
      <c r="L145" s="163">
        <v>150000</v>
      </c>
      <c r="M145" s="215">
        <f t="shared" si="19"/>
        <v>0</v>
      </c>
      <c r="N145" s="162">
        <f>M145</f>
        <v>0</v>
      </c>
    </row>
    <row r="146" spans="1:21" ht="63.75" x14ac:dyDescent="0.25">
      <c r="A146" s="93">
        <v>70</v>
      </c>
      <c r="B146" s="79">
        <v>1617200059</v>
      </c>
      <c r="C146" s="61" t="s">
        <v>374</v>
      </c>
      <c r="D146" s="79" t="s">
        <v>375</v>
      </c>
      <c r="E146" s="167">
        <v>17</v>
      </c>
      <c r="F146" s="162" t="s">
        <v>17</v>
      </c>
      <c r="G146" s="61" t="s">
        <v>204</v>
      </c>
      <c r="H146" s="79">
        <v>500000</v>
      </c>
      <c r="I146" s="158">
        <f t="shared" si="18"/>
        <v>500000</v>
      </c>
      <c r="J146" s="162">
        <v>0</v>
      </c>
      <c r="K146" s="162">
        <v>500000</v>
      </c>
      <c r="L146" s="163">
        <f>500000</f>
        <v>500000</v>
      </c>
      <c r="M146" s="215">
        <f t="shared" si="19"/>
        <v>0</v>
      </c>
      <c r="N146" s="162">
        <f>M146</f>
        <v>0</v>
      </c>
    </row>
    <row r="147" spans="1:21" ht="75" x14ac:dyDescent="0.25">
      <c r="A147" s="93">
        <v>87</v>
      </c>
      <c r="B147" s="204">
        <v>1617200052</v>
      </c>
      <c r="C147" s="116" t="s">
        <v>363</v>
      </c>
      <c r="D147" s="116" t="s">
        <v>364</v>
      </c>
      <c r="E147" s="383">
        <v>17</v>
      </c>
      <c r="F147" s="204" t="s">
        <v>495</v>
      </c>
      <c r="G147" s="210" t="s">
        <v>204</v>
      </c>
      <c r="H147" s="204">
        <v>200000</v>
      </c>
      <c r="I147" s="214">
        <f t="shared" si="18"/>
        <v>200000</v>
      </c>
      <c r="J147" s="204">
        <v>0</v>
      </c>
      <c r="K147" s="204"/>
      <c r="L147" s="413">
        <v>200000</v>
      </c>
      <c r="M147" s="216">
        <f t="shared" si="19"/>
        <v>0</v>
      </c>
      <c r="N147" s="162">
        <f>M147</f>
        <v>0</v>
      </c>
      <c r="R147" s="62"/>
      <c r="S147" s="62"/>
      <c r="T147" s="62"/>
      <c r="U147" s="62"/>
    </row>
    <row r="148" spans="1:21" ht="120" x14ac:dyDescent="0.25">
      <c r="A148" s="93">
        <v>80</v>
      </c>
      <c r="B148" s="204">
        <v>1617200036</v>
      </c>
      <c r="C148" s="204" t="s">
        <v>340</v>
      </c>
      <c r="D148" s="112" t="s">
        <v>341</v>
      </c>
      <c r="E148" s="380">
        <v>17</v>
      </c>
      <c r="F148" s="204" t="s">
        <v>31</v>
      </c>
      <c r="G148" s="213" t="s">
        <v>204</v>
      </c>
      <c r="H148" s="204">
        <v>480000</v>
      </c>
      <c r="I148" s="214">
        <f t="shared" si="18"/>
        <v>480000</v>
      </c>
      <c r="J148" s="204">
        <v>0</v>
      </c>
      <c r="K148" s="204">
        <v>0</v>
      </c>
      <c r="L148" s="413">
        <v>150000</v>
      </c>
      <c r="M148" s="216">
        <f t="shared" si="19"/>
        <v>330000</v>
      </c>
      <c r="N148" s="162">
        <v>0</v>
      </c>
    </row>
    <row r="149" spans="1:21" ht="51" x14ac:dyDescent="0.25">
      <c r="A149" s="93">
        <v>85</v>
      </c>
      <c r="B149" s="141">
        <v>1617200047</v>
      </c>
      <c r="C149" s="213"/>
      <c r="D149" s="141" t="s">
        <v>356</v>
      </c>
      <c r="E149" s="294">
        <v>17</v>
      </c>
      <c r="F149" s="204" t="s">
        <v>495</v>
      </c>
      <c r="G149" s="213" t="s">
        <v>204</v>
      </c>
      <c r="H149" s="141">
        <v>90000</v>
      </c>
      <c r="I149" s="214">
        <f t="shared" si="18"/>
        <v>90000</v>
      </c>
      <c r="J149" s="204">
        <v>0</v>
      </c>
      <c r="K149" s="204">
        <v>0</v>
      </c>
      <c r="L149" s="413">
        <v>90000</v>
      </c>
      <c r="M149" s="216">
        <f t="shared" si="19"/>
        <v>0</v>
      </c>
      <c r="N149" s="162">
        <v>0</v>
      </c>
    </row>
    <row r="150" spans="1:21" ht="75" x14ac:dyDescent="0.25">
      <c r="A150" s="93">
        <v>25</v>
      </c>
      <c r="B150" s="65">
        <v>200091</v>
      </c>
      <c r="C150" s="160" t="s">
        <v>250</v>
      </c>
      <c r="D150" s="65" t="s">
        <v>251</v>
      </c>
      <c r="E150" s="355">
        <v>18</v>
      </c>
      <c r="F150" s="72" t="s">
        <v>20</v>
      </c>
      <c r="G150" s="30" t="s">
        <v>204</v>
      </c>
      <c r="H150" s="72">
        <v>1000000</v>
      </c>
      <c r="I150" s="158">
        <f t="shared" si="18"/>
        <v>1000000</v>
      </c>
      <c r="J150" s="72">
        <v>0</v>
      </c>
      <c r="K150" s="162">
        <v>1000000</v>
      </c>
      <c r="L150" s="163">
        <v>1000000</v>
      </c>
      <c r="M150" s="215">
        <f t="shared" si="19"/>
        <v>0</v>
      </c>
      <c r="N150" s="162">
        <f>M150</f>
        <v>0</v>
      </c>
    </row>
    <row r="151" spans="1:21" ht="90" x14ac:dyDescent="0.25">
      <c r="A151" s="93">
        <v>6</v>
      </c>
      <c r="B151" s="65">
        <v>200048</v>
      </c>
      <c r="C151" s="40" t="s">
        <v>213</v>
      </c>
      <c r="D151" s="160" t="s">
        <v>214</v>
      </c>
      <c r="E151" s="93">
        <v>19</v>
      </c>
      <c r="F151" s="72" t="s">
        <v>17</v>
      </c>
      <c r="G151" s="21" t="s">
        <v>204</v>
      </c>
      <c r="H151" s="72">
        <v>450000</v>
      </c>
      <c r="I151" s="158">
        <f t="shared" si="18"/>
        <v>450000</v>
      </c>
      <c r="J151" s="72">
        <v>0</v>
      </c>
      <c r="K151" s="162">
        <v>450000</v>
      </c>
      <c r="L151" s="163">
        <f>75000*6</f>
        <v>450000</v>
      </c>
      <c r="M151" s="215">
        <f t="shared" si="19"/>
        <v>0</v>
      </c>
      <c r="N151" s="162">
        <f>M151</f>
        <v>0</v>
      </c>
    </row>
    <row r="152" spans="1:21" ht="45" x14ac:dyDescent="0.25">
      <c r="A152" s="93">
        <v>43</v>
      </c>
      <c r="B152" s="67">
        <v>1617200005</v>
      </c>
      <c r="C152" s="67" t="s">
        <v>287</v>
      </c>
      <c r="D152" s="67" t="s">
        <v>288</v>
      </c>
      <c r="E152" s="353">
        <v>19</v>
      </c>
      <c r="F152" s="162" t="s">
        <v>31</v>
      </c>
      <c r="G152" s="85" t="s">
        <v>204</v>
      </c>
      <c r="H152" s="67">
        <v>6937000</v>
      </c>
      <c r="I152" s="158">
        <f t="shared" si="18"/>
        <v>6937000</v>
      </c>
      <c r="J152" s="162">
        <v>0</v>
      </c>
      <c r="K152" s="192">
        <f>4682000+396000+75000</f>
        <v>5153000</v>
      </c>
      <c r="L152" s="193">
        <f>2890000+1533000+259000</f>
        <v>4682000</v>
      </c>
      <c r="M152" s="215">
        <f t="shared" si="19"/>
        <v>2255000</v>
      </c>
      <c r="N152" s="162">
        <f>M152</f>
        <v>2255000</v>
      </c>
    </row>
    <row r="153" spans="1:21" ht="75" x14ac:dyDescent="0.25">
      <c r="A153" s="93">
        <v>50</v>
      </c>
      <c r="B153" s="72">
        <v>1617200018</v>
      </c>
      <c r="C153" s="72" t="s">
        <v>69</v>
      </c>
      <c r="D153" s="65" t="s">
        <v>308</v>
      </c>
      <c r="E153" s="355">
        <v>19</v>
      </c>
      <c r="F153" s="72" t="s">
        <v>31</v>
      </c>
      <c r="G153" s="61" t="s">
        <v>204</v>
      </c>
      <c r="H153" s="72">
        <v>1236000</v>
      </c>
      <c r="I153" s="158">
        <f t="shared" si="18"/>
        <v>1236000</v>
      </c>
      <c r="J153" s="72">
        <v>0</v>
      </c>
      <c r="K153" s="162">
        <v>381000</v>
      </c>
      <c r="L153" s="413">
        <f>174000+207000+630000</f>
        <v>1011000</v>
      </c>
      <c r="M153" s="215">
        <f t="shared" si="19"/>
        <v>225000</v>
      </c>
      <c r="N153" s="162">
        <v>300000</v>
      </c>
    </row>
    <row r="154" spans="1:21" ht="75" x14ac:dyDescent="0.25">
      <c r="A154" s="93">
        <v>61</v>
      </c>
      <c r="B154" s="72">
        <v>1617200032</v>
      </c>
      <c r="C154" s="72" t="s">
        <v>69</v>
      </c>
      <c r="D154" s="65" t="s">
        <v>334</v>
      </c>
      <c r="E154" s="355">
        <v>19</v>
      </c>
      <c r="F154" s="72" t="s">
        <v>17</v>
      </c>
      <c r="G154" s="61" t="s">
        <v>204</v>
      </c>
      <c r="H154" s="72">
        <v>734000</v>
      </c>
      <c r="I154" s="158">
        <f t="shared" si="18"/>
        <v>734000</v>
      </c>
      <c r="J154" s="72">
        <v>0</v>
      </c>
      <c r="K154" s="162">
        <v>734000</v>
      </c>
      <c r="L154" s="163">
        <f>654000+30000+50000</f>
        <v>734000</v>
      </c>
      <c r="M154" s="215">
        <f t="shared" si="19"/>
        <v>0</v>
      </c>
      <c r="N154" s="162">
        <f>M154</f>
        <v>0</v>
      </c>
    </row>
    <row r="155" spans="1:21" ht="38.25" x14ac:dyDescent="0.25">
      <c r="A155" s="93">
        <v>68</v>
      </c>
      <c r="B155" s="79">
        <v>1617200049</v>
      </c>
      <c r="C155" s="79" t="s">
        <v>69</v>
      </c>
      <c r="D155" s="52" t="s">
        <v>358</v>
      </c>
      <c r="E155" s="93">
        <v>19</v>
      </c>
      <c r="F155" s="162" t="s">
        <v>31</v>
      </c>
      <c r="G155" s="61" t="s">
        <v>204</v>
      </c>
      <c r="H155" s="52">
        <v>460000</v>
      </c>
      <c r="I155" s="158">
        <f t="shared" si="18"/>
        <v>460000</v>
      </c>
      <c r="J155" s="162">
        <v>0</v>
      </c>
      <c r="K155" s="162">
        <v>0</v>
      </c>
      <c r="L155" s="163">
        <f>400000+20000</f>
        <v>420000</v>
      </c>
      <c r="M155" s="215">
        <f t="shared" si="19"/>
        <v>40000</v>
      </c>
      <c r="N155" s="162">
        <v>0</v>
      </c>
    </row>
    <row r="156" spans="1:21" ht="60" x14ac:dyDescent="0.25">
      <c r="A156" s="93">
        <v>11</v>
      </c>
      <c r="B156" s="65">
        <v>200061</v>
      </c>
      <c r="C156" s="72" t="s">
        <v>223</v>
      </c>
      <c r="D156" s="65" t="s">
        <v>224</v>
      </c>
      <c r="E156" s="355">
        <v>20</v>
      </c>
      <c r="F156" s="72" t="s">
        <v>31</v>
      </c>
      <c r="G156" s="30" t="s">
        <v>204</v>
      </c>
      <c r="H156" s="72">
        <v>500000</v>
      </c>
      <c r="I156" s="158">
        <f t="shared" si="18"/>
        <v>334000</v>
      </c>
      <c r="J156" s="72">
        <v>166000</v>
      </c>
      <c r="K156" s="162">
        <v>166000</v>
      </c>
      <c r="L156" s="163">
        <v>166000</v>
      </c>
      <c r="M156" s="215">
        <f t="shared" si="19"/>
        <v>168000</v>
      </c>
      <c r="N156" s="162">
        <f>M156</f>
        <v>168000</v>
      </c>
    </row>
    <row r="157" spans="1:21" ht="60" x14ac:dyDescent="0.25">
      <c r="A157" s="93">
        <v>23</v>
      </c>
      <c r="B157" s="164">
        <v>200087</v>
      </c>
      <c r="C157" s="41" t="s">
        <v>246</v>
      </c>
      <c r="D157" s="179" t="s">
        <v>247</v>
      </c>
      <c r="E157" s="354">
        <v>20</v>
      </c>
      <c r="F157" s="72" t="s">
        <v>31</v>
      </c>
      <c r="G157" s="175" t="s">
        <v>204</v>
      </c>
      <c r="H157" s="72">
        <v>450000</v>
      </c>
      <c r="I157" s="158">
        <f t="shared" si="18"/>
        <v>450000</v>
      </c>
      <c r="J157" s="72">
        <v>0</v>
      </c>
      <c r="K157" s="162">
        <f>150000+150000</f>
        <v>300000</v>
      </c>
      <c r="L157" s="163">
        <f>150000+150000</f>
        <v>300000</v>
      </c>
      <c r="M157" s="215">
        <f t="shared" si="19"/>
        <v>150000</v>
      </c>
      <c r="N157" s="162">
        <f>M157</f>
        <v>150000</v>
      </c>
    </row>
    <row r="158" spans="1:21" ht="60" x14ac:dyDescent="0.25">
      <c r="A158" s="93">
        <v>48</v>
      </c>
      <c r="B158" s="131">
        <v>1617200013</v>
      </c>
      <c r="C158" s="180" t="s">
        <v>299</v>
      </c>
      <c r="D158" s="197" t="s">
        <v>300</v>
      </c>
      <c r="E158" s="365">
        <v>20</v>
      </c>
      <c r="F158" s="162" t="s">
        <v>31</v>
      </c>
      <c r="G158" s="67" t="s">
        <v>204</v>
      </c>
      <c r="H158" s="162">
        <v>400000</v>
      </c>
      <c r="I158" s="158">
        <f t="shared" si="18"/>
        <v>400000</v>
      </c>
      <c r="J158" s="162">
        <v>0</v>
      </c>
      <c r="K158" s="162">
        <v>130000</v>
      </c>
      <c r="L158" s="163">
        <v>130000</v>
      </c>
      <c r="M158" s="215">
        <f t="shared" si="19"/>
        <v>270000</v>
      </c>
      <c r="N158" s="162">
        <f>M158/2</f>
        <v>135000</v>
      </c>
    </row>
    <row r="159" spans="1:21" ht="60" x14ac:dyDescent="0.25">
      <c r="A159" s="93">
        <v>52</v>
      </c>
      <c r="B159" s="131">
        <v>1617200021</v>
      </c>
      <c r="C159" s="195" t="s">
        <v>313</v>
      </c>
      <c r="D159" s="190" t="s">
        <v>314</v>
      </c>
      <c r="E159" s="356">
        <v>20</v>
      </c>
      <c r="F159" s="72" t="s">
        <v>31</v>
      </c>
      <c r="G159" s="67" t="s">
        <v>204</v>
      </c>
      <c r="H159" s="72">
        <v>322654</v>
      </c>
      <c r="I159" s="158">
        <f t="shared" si="18"/>
        <v>322654</v>
      </c>
      <c r="J159" s="72">
        <v>0</v>
      </c>
      <c r="K159" s="162">
        <v>110000</v>
      </c>
      <c r="L159" s="413">
        <f>110000+75654</f>
        <v>185654</v>
      </c>
      <c r="M159" s="215">
        <f t="shared" si="19"/>
        <v>137000</v>
      </c>
      <c r="N159" s="162">
        <v>0</v>
      </c>
    </row>
    <row r="160" spans="1:21" ht="60" x14ac:dyDescent="0.25">
      <c r="A160" s="93">
        <v>53</v>
      </c>
      <c r="B160" s="131">
        <v>1617200022</v>
      </c>
      <c r="C160" s="182" t="s">
        <v>315</v>
      </c>
      <c r="D160" s="40" t="s">
        <v>316</v>
      </c>
      <c r="E160" s="342">
        <v>20</v>
      </c>
      <c r="F160" s="72" t="s">
        <v>31</v>
      </c>
      <c r="G160" s="67" t="s">
        <v>204</v>
      </c>
      <c r="H160" s="72">
        <v>379188</v>
      </c>
      <c r="I160" s="158">
        <f t="shared" si="18"/>
        <v>379188</v>
      </c>
      <c r="J160" s="72">
        <v>0</v>
      </c>
      <c r="K160" s="162">
        <v>120000</v>
      </c>
      <c r="L160" s="163">
        <f>120000+130000</f>
        <v>250000</v>
      </c>
      <c r="M160" s="215">
        <f t="shared" si="19"/>
        <v>129188</v>
      </c>
      <c r="N160" s="162">
        <f>M160</f>
        <v>129188</v>
      </c>
    </row>
    <row r="161" spans="1:21" ht="38.25" x14ac:dyDescent="0.25">
      <c r="A161" s="93">
        <v>72</v>
      </c>
      <c r="B161" s="65" t="s">
        <v>194</v>
      </c>
      <c r="C161" s="72" t="s">
        <v>383</v>
      </c>
      <c r="D161" s="65" t="s">
        <v>384</v>
      </c>
      <c r="E161" s="355">
        <v>20</v>
      </c>
      <c r="F161" s="72" t="s">
        <v>20</v>
      </c>
      <c r="G161" s="52" t="s">
        <v>204</v>
      </c>
      <c r="H161" s="72">
        <v>6792</v>
      </c>
      <c r="I161" s="158">
        <f t="shared" si="18"/>
        <v>6792</v>
      </c>
      <c r="J161" s="72">
        <v>0</v>
      </c>
      <c r="K161" s="162">
        <v>6792</v>
      </c>
      <c r="L161" s="163">
        <v>6792</v>
      </c>
      <c r="M161" s="215">
        <f t="shared" si="19"/>
        <v>0</v>
      </c>
      <c r="N161" s="162">
        <f>M161</f>
        <v>0</v>
      </c>
    </row>
    <row r="162" spans="1:21" ht="60" x14ac:dyDescent="0.25">
      <c r="A162" s="93">
        <v>90</v>
      </c>
      <c r="B162" s="204">
        <v>1617200056</v>
      </c>
      <c r="C162" s="116" t="s">
        <v>369</v>
      </c>
      <c r="D162" s="116" t="s">
        <v>370</v>
      </c>
      <c r="E162" s="383">
        <v>20</v>
      </c>
      <c r="F162" s="204" t="s">
        <v>31</v>
      </c>
      <c r="G162" s="210" t="s">
        <v>204</v>
      </c>
      <c r="H162" s="204">
        <v>42000</v>
      </c>
      <c r="I162" s="214">
        <f t="shared" si="18"/>
        <v>42000</v>
      </c>
      <c r="J162" s="204">
        <v>0</v>
      </c>
      <c r="K162" s="204"/>
      <c r="L162" s="413">
        <v>30000</v>
      </c>
      <c r="M162" s="216">
        <f t="shared" si="19"/>
        <v>12000</v>
      </c>
      <c r="N162" s="162">
        <f>M162</f>
        <v>12000</v>
      </c>
      <c r="R162" s="62"/>
      <c r="S162" s="62"/>
      <c r="T162" s="62"/>
      <c r="U162" s="62"/>
    </row>
    <row r="163" spans="1:21" ht="45" x14ac:dyDescent="0.25">
      <c r="A163" s="93">
        <v>76</v>
      </c>
      <c r="B163" s="112">
        <v>1617200015</v>
      </c>
      <c r="C163" s="112" t="s">
        <v>301</v>
      </c>
      <c r="D163" s="112" t="s">
        <v>302</v>
      </c>
      <c r="E163" s="380">
        <v>20</v>
      </c>
      <c r="F163" s="204" t="s">
        <v>31</v>
      </c>
      <c r="G163" s="210" t="s">
        <v>204</v>
      </c>
      <c r="H163" s="211">
        <v>300000</v>
      </c>
      <c r="I163" s="214">
        <f t="shared" si="18"/>
        <v>300000</v>
      </c>
      <c r="J163" s="204">
        <v>0</v>
      </c>
      <c r="K163" s="204">
        <v>0</v>
      </c>
      <c r="L163" s="413">
        <v>100000</v>
      </c>
      <c r="M163" s="216">
        <f t="shared" si="19"/>
        <v>200000</v>
      </c>
      <c r="N163" s="162">
        <v>0</v>
      </c>
    </row>
    <row r="164" spans="1:21" ht="75" x14ac:dyDescent="0.25">
      <c r="A164" s="93">
        <v>19</v>
      </c>
      <c r="B164" s="164">
        <v>200082</v>
      </c>
      <c r="C164" s="164" t="s">
        <v>237</v>
      </c>
      <c r="D164" s="78" t="s">
        <v>238</v>
      </c>
      <c r="E164" s="366">
        <v>21</v>
      </c>
      <c r="F164" s="131" t="s">
        <v>20</v>
      </c>
      <c r="G164" s="34" t="s">
        <v>204</v>
      </c>
      <c r="H164" s="131">
        <v>12000</v>
      </c>
      <c r="I164" s="158">
        <f t="shared" si="18"/>
        <v>12000</v>
      </c>
      <c r="J164" s="131">
        <v>0</v>
      </c>
      <c r="K164" s="127">
        <v>12000</v>
      </c>
      <c r="L164" s="178">
        <v>12000</v>
      </c>
      <c r="M164" s="215">
        <f t="shared" si="19"/>
        <v>0</v>
      </c>
      <c r="N164" s="162">
        <f>M164</f>
        <v>0</v>
      </c>
    </row>
    <row r="165" spans="1:21" ht="60" x14ac:dyDescent="0.25">
      <c r="A165" s="93">
        <v>22</v>
      </c>
      <c r="B165" s="164">
        <v>200086</v>
      </c>
      <c r="C165" s="180" t="s">
        <v>244</v>
      </c>
      <c r="D165" s="179" t="s">
        <v>245</v>
      </c>
      <c r="E165" s="354">
        <v>21</v>
      </c>
      <c r="F165" s="72" t="s">
        <v>20</v>
      </c>
      <c r="G165" s="175" t="s">
        <v>204</v>
      </c>
      <c r="H165" s="72">
        <v>6520</v>
      </c>
      <c r="I165" s="158">
        <f t="shared" si="18"/>
        <v>6520</v>
      </c>
      <c r="J165" s="72">
        <v>0</v>
      </c>
      <c r="K165" s="162">
        <v>6520</v>
      </c>
      <c r="L165" s="163">
        <v>6520</v>
      </c>
      <c r="M165" s="215">
        <f t="shared" si="19"/>
        <v>0</v>
      </c>
      <c r="N165" s="162">
        <f>M165</f>
        <v>0</v>
      </c>
    </row>
    <row r="166" spans="1:21" ht="60" x14ac:dyDescent="0.25">
      <c r="A166" s="93">
        <v>41</v>
      </c>
      <c r="B166" s="164">
        <v>200114</v>
      </c>
      <c r="C166" s="182" t="s">
        <v>281</v>
      </c>
      <c r="D166" s="165" t="s">
        <v>282</v>
      </c>
      <c r="E166" s="358">
        <v>21</v>
      </c>
      <c r="F166" s="72" t="s">
        <v>31</v>
      </c>
      <c r="G166" s="40" t="s">
        <v>204</v>
      </c>
      <c r="H166" s="72">
        <v>100000</v>
      </c>
      <c r="I166" s="158">
        <f t="shared" si="18"/>
        <v>100000</v>
      </c>
      <c r="J166" s="72">
        <v>0</v>
      </c>
      <c r="K166" s="162">
        <v>25000</v>
      </c>
      <c r="L166" s="413">
        <f>25000+25000</f>
        <v>50000</v>
      </c>
      <c r="M166" s="215">
        <f t="shared" si="19"/>
        <v>50000</v>
      </c>
      <c r="N166" s="162">
        <v>0</v>
      </c>
    </row>
    <row r="167" spans="1:21" ht="60" x14ac:dyDescent="0.25">
      <c r="A167" s="93">
        <v>42</v>
      </c>
      <c r="B167" s="164">
        <v>200121</v>
      </c>
      <c r="C167" s="165" t="s">
        <v>283</v>
      </c>
      <c r="D167" s="165" t="s">
        <v>284</v>
      </c>
      <c r="E167" s="358">
        <v>21</v>
      </c>
      <c r="F167" s="72" t="s">
        <v>20</v>
      </c>
      <c r="G167" s="30" t="s">
        <v>204</v>
      </c>
      <c r="H167" s="72">
        <v>48000</v>
      </c>
      <c r="I167" s="158">
        <f t="shared" si="18"/>
        <v>48000</v>
      </c>
      <c r="J167" s="72">
        <v>0</v>
      </c>
      <c r="K167" s="162">
        <v>48000</v>
      </c>
      <c r="L167" s="163">
        <v>48000</v>
      </c>
      <c r="M167" s="215">
        <f t="shared" si="19"/>
        <v>0</v>
      </c>
      <c r="N167" s="162">
        <f>M167</f>
        <v>0</v>
      </c>
    </row>
    <row r="168" spans="1:21" s="48" customFormat="1" ht="60" x14ac:dyDescent="0.25">
      <c r="A168" s="167">
        <v>88</v>
      </c>
      <c r="B168" s="162">
        <v>1617200053</v>
      </c>
      <c r="C168" s="197" t="s">
        <v>365</v>
      </c>
      <c r="D168" s="197" t="s">
        <v>366</v>
      </c>
      <c r="E168" s="365">
        <v>21</v>
      </c>
      <c r="F168" s="162" t="s">
        <v>66</v>
      </c>
      <c r="G168" s="96" t="s">
        <v>204</v>
      </c>
      <c r="H168" s="162">
        <v>100000</v>
      </c>
      <c r="I168" s="158">
        <f t="shared" si="18"/>
        <v>100000</v>
      </c>
      <c r="J168" s="162">
        <v>0</v>
      </c>
      <c r="K168" s="162"/>
      <c r="L168" s="413">
        <v>50000</v>
      </c>
      <c r="M168" s="215">
        <f t="shared" si="19"/>
        <v>50000</v>
      </c>
      <c r="N168" s="162">
        <f>M168</f>
        <v>50000</v>
      </c>
      <c r="R168" s="66"/>
      <c r="S168" s="66"/>
      <c r="T168" s="66"/>
      <c r="U168" s="66"/>
    </row>
    <row r="169" spans="1:21" s="48" customFormat="1" ht="60" x14ac:dyDescent="0.25">
      <c r="A169" s="167">
        <v>89</v>
      </c>
      <c r="B169" s="162">
        <v>1617200054</v>
      </c>
      <c r="C169" s="197" t="s">
        <v>367</v>
      </c>
      <c r="D169" s="197" t="s">
        <v>368</v>
      </c>
      <c r="E169" s="365">
        <v>21</v>
      </c>
      <c r="F169" s="162" t="s">
        <v>495</v>
      </c>
      <c r="G169" s="96" t="s">
        <v>204</v>
      </c>
      <c r="H169" s="162">
        <v>30000</v>
      </c>
      <c r="I169" s="158">
        <f t="shared" si="18"/>
        <v>30000</v>
      </c>
      <c r="J169" s="162">
        <v>0</v>
      </c>
      <c r="K169" s="162"/>
      <c r="L169" s="413">
        <v>30000</v>
      </c>
      <c r="M169" s="215">
        <f t="shared" si="19"/>
        <v>0</v>
      </c>
      <c r="N169" s="162">
        <f>M169</f>
        <v>0</v>
      </c>
      <c r="R169" s="66"/>
      <c r="S169" s="66"/>
      <c r="T169" s="66"/>
      <c r="U169" s="66"/>
    </row>
    <row r="170" spans="1:21" ht="135" x14ac:dyDescent="0.25">
      <c r="A170" s="93">
        <v>79</v>
      </c>
      <c r="B170" s="112">
        <v>1617200035</v>
      </c>
      <c r="C170" s="212" t="s">
        <v>338</v>
      </c>
      <c r="D170" s="112" t="s">
        <v>339</v>
      </c>
      <c r="E170" s="380">
        <v>21</v>
      </c>
      <c r="F170" s="204" t="s">
        <v>31</v>
      </c>
      <c r="G170" s="210" t="s">
        <v>204</v>
      </c>
      <c r="H170" s="114">
        <v>115500</v>
      </c>
      <c r="I170" s="214">
        <f t="shared" si="18"/>
        <v>115500</v>
      </c>
      <c r="J170" s="204">
        <v>0</v>
      </c>
      <c r="K170" s="204">
        <v>0</v>
      </c>
      <c r="L170" s="413">
        <f>10000+22600+24000</f>
        <v>56600</v>
      </c>
      <c r="M170" s="216">
        <f t="shared" si="19"/>
        <v>58900</v>
      </c>
      <c r="N170" s="162">
        <f>M170</f>
        <v>58900</v>
      </c>
      <c r="R170" s="57"/>
      <c r="S170" s="57"/>
      <c r="T170" s="57"/>
      <c r="U170" s="57"/>
    </row>
    <row r="171" spans="1:21" ht="38.25" x14ac:dyDescent="0.25">
      <c r="A171" s="93">
        <v>13</v>
      </c>
      <c r="B171" s="167">
        <v>200066</v>
      </c>
      <c r="C171" s="79" t="s">
        <v>227</v>
      </c>
      <c r="D171" s="207" t="s">
        <v>228</v>
      </c>
      <c r="E171" s="168">
        <v>22</v>
      </c>
      <c r="F171" s="52" t="s">
        <v>31</v>
      </c>
      <c r="G171" s="105" t="s">
        <v>204</v>
      </c>
      <c r="H171" s="105">
        <v>626500</v>
      </c>
      <c r="I171" s="158">
        <f t="shared" si="18"/>
        <v>418500</v>
      </c>
      <c r="J171" s="169">
        <v>208000</v>
      </c>
      <c r="K171" s="103"/>
      <c r="L171" s="429">
        <f>200000+218500</f>
        <v>418500</v>
      </c>
      <c r="M171" s="215">
        <f t="shared" si="19"/>
        <v>0</v>
      </c>
      <c r="N171" s="162"/>
    </row>
    <row r="172" spans="1:21" ht="75" x14ac:dyDescent="0.25">
      <c r="A172" s="93">
        <v>44</v>
      </c>
      <c r="B172" s="72">
        <v>1617200006</v>
      </c>
      <c r="C172" s="72" t="s">
        <v>289</v>
      </c>
      <c r="D172" s="65" t="s">
        <v>290</v>
      </c>
      <c r="E172" s="355">
        <v>23</v>
      </c>
      <c r="F172" s="72" t="s">
        <v>31</v>
      </c>
      <c r="G172" s="61" t="s">
        <v>204</v>
      </c>
      <c r="H172" s="72">
        <v>10000000</v>
      </c>
      <c r="I172" s="158">
        <f t="shared" si="18"/>
        <v>10000000</v>
      </c>
      <c r="J172" s="72">
        <v>0</v>
      </c>
      <c r="K172" s="162">
        <v>2500000</v>
      </c>
      <c r="L172" s="163">
        <v>2500000</v>
      </c>
      <c r="M172" s="215">
        <f t="shared" si="19"/>
        <v>7500000</v>
      </c>
      <c r="N172" s="162">
        <v>0</v>
      </c>
    </row>
    <row r="173" spans="1:21" ht="90" x14ac:dyDescent="0.25">
      <c r="A173" s="93">
        <v>31</v>
      </c>
      <c r="B173" s="164">
        <v>200100</v>
      </c>
      <c r="C173" s="182" t="s">
        <v>69</v>
      </c>
      <c r="D173" s="185" t="s">
        <v>261</v>
      </c>
      <c r="E173" s="367">
        <v>24</v>
      </c>
      <c r="F173" s="72" t="s">
        <v>31</v>
      </c>
      <c r="G173" s="186" t="s">
        <v>137</v>
      </c>
      <c r="H173" s="72">
        <v>478051</v>
      </c>
      <c r="I173" s="158">
        <f t="shared" si="18"/>
        <v>478051</v>
      </c>
      <c r="J173" s="72">
        <v>0</v>
      </c>
      <c r="K173" s="162">
        <f>160000+140000</f>
        <v>300000</v>
      </c>
      <c r="L173" s="413">
        <f>160000+140000+178000</f>
        <v>478000</v>
      </c>
      <c r="M173" s="215">
        <f t="shared" si="19"/>
        <v>51</v>
      </c>
      <c r="N173" s="162">
        <f>M173</f>
        <v>51</v>
      </c>
    </row>
    <row r="174" spans="1:21" ht="63.75" x14ac:dyDescent="0.25">
      <c r="A174" s="93">
        <v>32</v>
      </c>
      <c r="B174" s="162">
        <v>200102</v>
      </c>
      <c r="C174" s="65" t="s">
        <v>176</v>
      </c>
      <c r="D174" s="65" t="s">
        <v>262</v>
      </c>
      <c r="E174" s="355">
        <v>24</v>
      </c>
      <c r="F174" s="72" t="s">
        <v>31</v>
      </c>
      <c r="G174" s="52" t="s">
        <v>137</v>
      </c>
      <c r="H174" s="162">
        <v>260000</v>
      </c>
      <c r="I174" s="158">
        <f t="shared" si="18"/>
        <v>260000</v>
      </c>
      <c r="J174" s="162">
        <v>0</v>
      </c>
      <c r="K174" s="162">
        <v>86000</v>
      </c>
      <c r="L174" s="163">
        <f>86000</f>
        <v>86000</v>
      </c>
      <c r="M174" s="215">
        <f t="shared" si="19"/>
        <v>174000</v>
      </c>
      <c r="N174" s="162">
        <f>M174</f>
        <v>174000</v>
      </c>
    </row>
    <row r="175" spans="1:21" ht="63.75" x14ac:dyDescent="0.25">
      <c r="A175" s="9"/>
      <c r="B175" s="65" t="s">
        <v>599</v>
      </c>
      <c r="C175" s="153"/>
      <c r="D175" s="229" t="s">
        <v>917</v>
      </c>
      <c r="E175" s="9">
        <v>24</v>
      </c>
      <c r="F175" s="154" t="s">
        <v>112</v>
      </c>
      <c r="G175" s="10" t="s">
        <v>137</v>
      </c>
      <c r="H175" s="155">
        <f>171000+495000</f>
        <v>666000</v>
      </c>
      <c r="I175" s="156">
        <f>19000*9+495000+49*12*1000</f>
        <v>1254000</v>
      </c>
      <c r="J175" s="155">
        <v>0</v>
      </c>
      <c r="K175" s="156"/>
      <c r="L175" s="421">
        <f>19000*9+495000+49*12*1000</f>
        <v>1254000</v>
      </c>
      <c r="M175" s="156">
        <v>0</v>
      </c>
      <c r="N175" s="156"/>
    </row>
    <row r="176" spans="1:21" ht="63.75" x14ac:dyDescent="0.25">
      <c r="A176" s="9"/>
      <c r="B176" s="65" t="s">
        <v>916</v>
      </c>
      <c r="C176" s="153"/>
      <c r="D176" s="229" t="s">
        <v>918</v>
      </c>
      <c r="E176" s="9">
        <v>24</v>
      </c>
      <c r="F176" s="154" t="s">
        <v>112</v>
      </c>
      <c r="G176" s="10" t="s">
        <v>137</v>
      </c>
      <c r="H176" s="155"/>
      <c r="I176" s="155">
        <v>948000</v>
      </c>
      <c r="J176" s="155">
        <v>0</v>
      </c>
      <c r="K176" s="156"/>
      <c r="L176" s="421">
        <v>948000</v>
      </c>
      <c r="M176" s="156">
        <v>0</v>
      </c>
      <c r="N176" s="156"/>
    </row>
    <row r="177" spans="1:21" ht="63.75" x14ac:dyDescent="0.25">
      <c r="A177" s="93">
        <v>74</v>
      </c>
      <c r="B177" s="209">
        <v>200107</v>
      </c>
      <c r="C177" s="112" t="s">
        <v>269</v>
      </c>
      <c r="D177" s="112" t="s">
        <v>270</v>
      </c>
      <c r="E177" s="380">
        <v>24</v>
      </c>
      <c r="F177" s="204" t="s">
        <v>31</v>
      </c>
      <c r="G177" s="210" t="s">
        <v>137</v>
      </c>
      <c r="H177" s="112">
        <v>260000</v>
      </c>
      <c r="I177" s="214">
        <f>H177-J177</f>
        <v>260000</v>
      </c>
      <c r="J177" s="204">
        <v>0</v>
      </c>
      <c r="K177" s="204">
        <v>0</v>
      </c>
      <c r="L177" s="413">
        <v>100000</v>
      </c>
      <c r="M177" s="216">
        <f>H177-(J177+L177)</f>
        <v>160000</v>
      </c>
      <c r="N177" s="162">
        <v>0</v>
      </c>
      <c r="R177" s="62"/>
      <c r="S177" s="62"/>
      <c r="T177" s="62"/>
      <c r="U177" s="62"/>
    </row>
    <row r="178" spans="1:21" ht="63.75" x14ac:dyDescent="0.25">
      <c r="A178" s="167"/>
      <c r="B178" s="339">
        <v>1617400062</v>
      </c>
      <c r="C178" s="136" t="s">
        <v>711</v>
      </c>
      <c r="D178" s="141" t="s">
        <v>712</v>
      </c>
      <c r="E178" s="294">
        <v>24</v>
      </c>
      <c r="F178" s="136" t="s">
        <v>31</v>
      </c>
      <c r="G178" s="141" t="s">
        <v>137</v>
      </c>
      <c r="H178" s="141">
        <v>496300</v>
      </c>
      <c r="I178" s="345">
        <f>H178-J178</f>
        <v>496300</v>
      </c>
      <c r="J178" s="136">
        <v>0</v>
      </c>
      <c r="K178" s="136">
        <v>0</v>
      </c>
      <c r="L178" s="301">
        <v>250000</v>
      </c>
      <c r="M178" s="136">
        <f>H178-(J178+K178)</f>
        <v>496300</v>
      </c>
      <c r="N178" s="136">
        <v>0</v>
      </c>
      <c r="R178" s="62"/>
      <c r="S178" s="62"/>
      <c r="T178" s="62"/>
      <c r="U178" s="62"/>
    </row>
    <row r="179" spans="1:21" ht="25.5" x14ac:dyDescent="0.25">
      <c r="A179" s="167">
        <v>3</v>
      </c>
      <c r="B179" s="176">
        <v>300039</v>
      </c>
      <c r="C179" s="231" t="s">
        <v>401</v>
      </c>
      <c r="D179" s="273" t="s">
        <v>402</v>
      </c>
      <c r="E179" s="187">
        <v>25</v>
      </c>
      <c r="F179" s="131" t="s">
        <v>31</v>
      </c>
      <c r="G179" s="131" t="s">
        <v>403</v>
      </c>
      <c r="H179" s="251">
        <v>150000</v>
      </c>
      <c r="I179" s="131">
        <f>H179-J179</f>
        <v>100000</v>
      </c>
      <c r="J179" s="105">
        <v>50000</v>
      </c>
      <c r="K179" s="250">
        <v>25000</v>
      </c>
      <c r="L179" s="178">
        <f>25000</f>
        <v>25000</v>
      </c>
      <c r="M179" s="127">
        <f>H179-(J179+K179)</f>
        <v>75000</v>
      </c>
      <c r="N179" s="127">
        <v>0</v>
      </c>
    </row>
    <row r="180" spans="1:21" ht="38.25" x14ac:dyDescent="0.25">
      <c r="A180" s="93">
        <v>4</v>
      </c>
      <c r="B180" s="176">
        <v>300040</v>
      </c>
      <c r="C180" s="252" t="s">
        <v>404</v>
      </c>
      <c r="D180" s="222" t="s">
        <v>405</v>
      </c>
      <c r="E180" s="187">
        <v>25</v>
      </c>
      <c r="F180" s="249" t="s">
        <v>17</v>
      </c>
      <c r="G180" s="249" t="s">
        <v>403</v>
      </c>
      <c r="H180" s="253">
        <v>75000</v>
      </c>
      <c r="I180" s="131">
        <f>H180-J180</f>
        <v>35000</v>
      </c>
      <c r="J180" s="169">
        <v>40000</v>
      </c>
      <c r="K180" s="249"/>
      <c r="L180" s="178">
        <v>35000</v>
      </c>
      <c r="M180" s="131"/>
      <c r="N180" s="127"/>
    </row>
    <row r="181" spans="1:21" ht="75" x14ac:dyDescent="0.25">
      <c r="A181" s="167">
        <v>5</v>
      </c>
      <c r="B181" s="167" t="s">
        <v>929</v>
      </c>
      <c r="C181" s="176" t="s">
        <v>406</v>
      </c>
      <c r="D181" s="222" t="s">
        <v>407</v>
      </c>
      <c r="E181" s="187">
        <v>25</v>
      </c>
      <c r="F181" s="131" t="s">
        <v>408</v>
      </c>
      <c r="G181" s="197" t="s">
        <v>403</v>
      </c>
      <c r="H181" s="102">
        <v>2974153</v>
      </c>
      <c r="I181" s="131">
        <f>H181-J181</f>
        <v>1974153</v>
      </c>
      <c r="J181" s="254">
        <v>1000000</v>
      </c>
      <c r="K181" s="250">
        <v>0</v>
      </c>
      <c r="L181" s="415">
        <f>1000000</f>
        <v>1000000</v>
      </c>
      <c r="M181" s="127">
        <f>H181-(J181+K181)</f>
        <v>1974153</v>
      </c>
      <c r="N181" s="127">
        <v>1000000</v>
      </c>
      <c r="O181" s="6">
        <v>1974153</v>
      </c>
    </row>
    <row r="182" spans="1:21" ht="105" x14ac:dyDescent="0.25">
      <c r="A182" s="167"/>
      <c r="B182" s="197">
        <v>1617300035</v>
      </c>
      <c r="C182" s="176" t="s">
        <v>911</v>
      </c>
      <c r="D182" s="222" t="s">
        <v>910</v>
      </c>
      <c r="E182" s="187">
        <v>26</v>
      </c>
      <c r="F182" s="131" t="s">
        <v>31</v>
      </c>
      <c r="G182" s="197" t="s">
        <v>403</v>
      </c>
      <c r="H182" s="102"/>
      <c r="I182" s="131">
        <v>58700</v>
      </c>
      <c r="J182" s="169">
        <v>0</v>
      </c>
      <c r="K182" s="250"/>
      <c r="L182" s="417">
        <v>41000</v>
      </c>
      <c r="M182" s="127">
        <f>I182-L182</f>
        <v>17700</v>
      </c>
      <c r="N182" s="127"/>
    </row>
    <row r="183" spans="1:21" ht="51" x14ac:dyDescent="0.25">
      <c r="A183" s="93">
        <v>12</v>
      </c>
      <c r="B183" s="40">
        <v>300063</v>
      </c>
      <c r="C183" s="40" t="s">
        <v>420</v>
      </c>
      <c r="D183" s="259" t="s">
        <v>421</v>
      </c>
      <c r="E183" s="187">
        <v>25</v>
      </c>
      <c r="F183" s="131" t="s">
        <v>31</v>
      </c>
      <c r="G183" s="52" t="s">
        <v>241</v>
      </c>
      <c r="H183" s="131">
        <v>150000</v>
      </c>
      <c r="I183" s="131">
        <f>H183-J183</f>
        <v>150000</v>
      </c>
      <c r="J183" s="131">
        <v>0</v>
      </c>
      <c r="K183" s="250">
        <f>50000+25000</f>
        <v>75000</v>
      </c>
      <c r="L183" s="262">
        <f>50000+25000+35000</f>
        <v>110000</v>
      </c>
      <c r="M183" s="127">
        <f>H183-(J183+K183)</f>
        <v>75000</v>
      </c>
      <c r="N183" s="127">
        <f>M183</f>
        <v>75000</v>
      </c>
    </row>
    <row r="184" spans="1:21" ht="75" x14ac:dyDescent="0.25">
      <c r="A184" s="93">
        <v>16</v>
      </c>
      <c r="B184" s="131">
        <v>300072</v>
      </c>
      <c r="C184" s="40" t="s">
        <v>428</v>
      </c>
      <c r="D184" s="40" t="s">
        <v>429</v>
      </c>
      <c r="E184" s="187">
        <v>25</v>
      </c>
      <c r="F184" s="131" t="s">
        <v>66</v>
      </c>
      <c r="G184" s="197" t="s">
        <v>403</v>
      </c>
      <c r="H184" s="131">
        <v>300000</v>
      </c>
      <c r="I184" s="131">
        <f>H184-J184</f>
        <v>300000</v>
      </c>
      <c r="J184" s="131">
        <v>0</v>
      </c>
      <c r="K184" s="250">
        <v>0</v>
      </c>
      <c r="L184" s="178">
        <f>100000</f>
        <v>100000</v>
      </c>
      <c r="M184" s="127">
        <f>H184-(J184+K184)</f>
        <v>300000</v>
      </c>
      <c r="N184" s="127">
        <f>M184/3</f>
        <v>100000</v>
      </c>
    </row>
    <row r="185" spans="1:21" ht="75" x14ac:dyDescent="0.25">
      <c r="A185" s="167">
        <v>25</v>
      </c>
      <c r="B185" s="197">
        <v>1617300008</v>
      </c>
      <c r="C185" s="197" t="s">
        <v>447</v>
      </c>
      <c r="D185" s="197" t="s">
        <v>448</v>
      </c>
      <c r="E185" s="187">
        <v>25</v>
      </c>
      <c r="F185" s="131" t="s">
        <v>31</v>
      </c>
      <c r="G185" s="197" t="s">
        <v>241</v>
      </c>
      <c r="H185" s="197">
        <f>75000+75000</f>
        <v>150000</v>
      </c>
      <c r="I185" s="131">
        <f>H185-J185</f>
        <v>150000</v>
      </c>
      <c r="J185" s="131">
        <v>0</v>
      </c>
      <c r="K185" s="250">
        <f>35000+35000</f>
        <v>70000</v>
      </c>
      <c r="L185" s="301">
        <f>35000+35000+35000</f>
        <v>105000</v>
      </c>
      <c r="M185" s="127">
        <f>I185-L185</f>
        <v>45000</v>
      </c>
      <c r="N185" s="127">
        <f>M185</f>
        <v>45000</v>
      </c>
    </row>
    <row r="186" spans="1:21" ht="90" x14ac:dyDescent="0.25">
      <c r="A186" s="93">
        <v>34</v>
      </c>
      <c r="B186" s="40">
        <v>1617400038</v>
      </c>
      <c r="C186" s="40" t="s">
        <v>688</v>
      </c>
      <c r="D186" s="40" t="s">
        <v>689</v>
      </c>
      <c r="E186" s="342">
        <v>25</v>
      </c>
      <c r="F186" s="131" t="s">
        <v>500</v>
      </c>
      <c r="G186" s="52" t="s">
        <v>241</v>
      </c>
      <c r="H186" s="40">
        <v>270275</v>
      </c>
      <c r="I186" s="155">
        <f>H186-J186</f>
        <v>270275</v>
      </c>
      <c r="J186" s="131">
        <v>0</v>
      </c>
      <c r="K186" s="250">
        <v>0</v>
      </c>
      <c r="L186" s="255">
        <f>135137</f>
        <v>135137</v>
      </c>
      <c r="M186" s="127">
        <f>H186-(J186+K186)</f>
        <v>270275</v>
      </c>
      <c r="N186" s="127">
        <f>M186/2</f>
        <v>135137.5</v>
      </c>
    </row>
    <row r="187" spans="1:21" ht="75" x14ac:dyDescent="0.25">
      <c r="A187" s="167"/>
      <c r="B187" s="116">
        <v>1617400079</v>
      </c>
      <c r="C187" s="116" t="s">
        <v>69</v>
      </c>
      <c r="D187" s="116" t="s">
        <v>727</v>
      </c>
      <c r="E187" s="383">
        <v>25</v>
      </c>
      <c r="F187" s="136" t="s">
        <v>495</v>
      </c>
      <c r="G187" s="116" t="s">
        <v>241</v>
      </c>
      <c r="H187" s="116">
        <v>14250</v>
      </c>
      <c r="I187" s="345">
        <f>H187-J187</f>
        <v>14250</v>
      </c>
      <c r="J187" s="136">
        <v>0</v>
      </c>
      <c r="K187" s="275"/>
      <c r="L187" s="419">
        <v>14250</v>
      </c>
      <c r="M187" s="275">
        <f>I187-L187</f>
        <v>0</v>
      </c>
      <c r="N187" s="136">
        <f>M187</f>
        <v>0</v>
      </c>
      <c r="R187" s="62"/>
      <c r="S187" s="62"/>
      <c r="T187" s="62"/>
      <c r="U187" s="62"/>
    </row>
    <row r="188" spans="1:21" ht="51" x14ac:dyDescent="0.25">
      <c r="A188" s="167">
        <v>45</v>
      </c>
      <c r="B188" s="268"/>
      <c r="C188" s="160" t="s">
        <v>397</v>
      </c>
      <c r="D188" s="424" t="s">
        <v>478</v>
      </c>
      <c r="E188" s="368">
        <v>26</v>
      </c>
      <c r="F188" s="105" t="s">
        <v>31</v>
      </c>
      <c r="G188" s="176" t="s">
        <v>107</v>
      </c>
      <c r="H188" s="325">
        <v>4415729</v>
      </c>
      <c r="I188" s="249">
        <f>5475481-J188</f>
        <v>4170356</v>
      </c>
      <c r="J188" s="325">
        <v>1305125</v>
      </c>
      <c r="K188" s="169">
        <v>2746500</v>
      </c>
      <c r="L188" s="423">
        <v>3297459</v>
      </c>
      <c r="M188" s="269">
        <v>612645</v>
      </c>
      <c r="N188" s="127">
        <v>0</v>
      </c>
    </row>
    <row r="189" spans="1:21" ht="51" x14ac:dyDescent="0.25">
      <c r="A189" s="93">
        <v>40</v>
      </c>
      <c r="B189" s="65" t="s">
        <v>484</v>
      </c>
      <c r="C189" s="160"/>
      <c r="D189" s="160" t="s">
        <v>474</v>
      </c>
      <c r="E189" s="368">
        <v>27</v>
      </c>
      <c r="F189" s="105"/>
      <c r="G189" s="52" t="s">
        <v>107</v>
      </c>
      <c r="H189" s="102">
        <v>5000000</v>
      </c>
      <c r="I189" s="260">
        <v>6369857</v>
      </c>
      <c r="J189" s="102"/>
      <c r="K189" s="105">
        <v>4160258</v>
      </c>
      <c r="L189" s="301">
        <f>3968753+2000000</f>
        <v>5968753</v>
      </c>
      <c r="M189" s="344">
        <f>I189-L189</f>
        <v>401104</v>
      </c>
      <c r="N189" s="127">
        <f>2000000</f>
        <v>2000000</v>
      </c>
    </row>
    <row r="190" spans="1:21" ht="51" x14ac:dyDescent="0.25">
      <c r="A190" s="167">
        <v>41</v>
      </c>
      <c r="B190" s="343" t="s">
        <v>483</v>
      </c>
      <c r="C190" s="160"/>
      <c r="D190" s="160" t="s">
        <v>475</v>
      </c>
      <c r="E190" s="368">
        <v>27</v>
      </c>
      <c r="F190" s="105"/>
      <c r="G190" s="176" t="s">
        <v>107</v>
      </c>
      <c r="H190" s="102">
        <v>2000000</v>
      </c>
      <c r="I190" s="260">
        <f>H190-J190</f>
        <v>2000000</v>
      </c>
      <c r="J190" s="102"/>
      <c r="K190" s="105">
        <v>1411000</v>
      </c>
      <c r="L190" s="301">
        <f>1611000+198032+200000+350000</f>
        <v>2359032</v>
      </c>
      <c r="M190" s="127">
        <f>I190-L190</f>
        <v>-359032</v>
      </c>
      <c r="N190" s="127">
        <v>300000</v>
      </c>
    </row>
    <row r="191" spans="1:21" ht="51" x14ac:dyDescent="0.25">
      <c r="A191" s="93">
        <v>42</v>
      </c>
      <c r="B191" s="65" t="s">
        <v>482</v>
      </c>
      <c r="C191" s="160"/>
      <c r="D191" s="160" t="s">
        <v>476</v>
      </c>
      <c r="E191" s="368">
        <v>27</v>
      </c>
      <c r="F191" s="105"/>
      <c r="G191" s="176" t="s">
        <v>107</v>
      </c>
      <c r="H191" s="102">
        <v>700000</v>
      </c>
      <c r="I191" s="131">
        <v>634000</v>
      </c>
      <c r="J191" s="102"/>
      <c r="K191" s="105">
        <v>614000</v>
      </c>
      <c r="L191" s="178">
        <v>534000</v>
      </c>
      <c r="M191" s="127">
        <f>I191-L191</f>
        <v>100000</v>
      </c>
      <c r="N191" s="127">
        <f>M191</f>
        <v>100000</v>
      </c>
    </row>
    <row r="192" spans="1:21" ht="51" x14ac:dyDescent="0.25">
      <c r="A192" s="167">
        <v>43</v>
      </c>
      <c r="B192" s="65" t="s">
        <v>481</v>
      </c>
      <c r="C192" s="160"/>
      <c r="D192" s="160" t="s">
        <v>477</v>
      </c>
      <c r="E192" s="368">
        <v>27</v>
      </c>
      <c r="F192" s="105"/>
      <c r="G192" s="176" t="s">
        <v>107</v>
      </c>
      <c r="H192" s="102">
        <v>2800000</v>
      </c>
      <c r="I192" s="131">
        <v>4498996</v>
      </c>
      <c r="J192" s="102">
        <v>0</v>
      </c>
      <c r="K192" s="105">
        <v>2000000</v>
      </c>
      <c r="L192" s="301">
        <v>4231163</v>
      </c>
      <c r="M192" s="127">
        <v>598733</v>
      </c>
      <c r="N192" s="127">
        <v>101000</v>
      </c>
    </row>
    <row r="193" spans="1:21" ht="51" x14ac:dyDescent="0.25">
      <c r="A193" s="167"/>
      <c r="B193" s="65" t="s">
        <v>480</v>
      </c>
      <c r="C193" s="160"/>
      <c r="D193" s="160" t="s">
        <v>479</v>
      </c>
      <c r="E193" s="368">
        <v>27</v>
      </c>
      <c r="F193" s="105"/>
      <c r="G193" s="176" t="s">
        <v>107</v>
      </c>
      <c r="H193" s="102"/>
      <c r="I193" s="72">
        <f>9116500+74400</f>
        <v>9190900</v>
      </c>
      <c r="J193" s="102">
        <v>0</v>
      </c>
      <c r="K193" s="105"/>
      <c r="L193" s="301">
        <f>1250000+1000000+1000000+1000000+1500000+74400</f>
        <v>5824400</v>
      </c>
      <c r="M193" s="250">
        <f>I193-(J193+L193)</f>
        <v>3366500</v>
      </c>
      <c r="N193" s="127">
        <v>3000000</v>
      </c>
    </row>
    <row r="194" spans="1:21" ht="75" x14ac:dyDescent="0.25">
      <c r="A194" s="93">
        <v>8</v>
      </c>
      <c r="B194" s="131">
        <v>300052</v>
      </c>
      <c r="C194" s="131" t="s">
        <v>397</v>
      </c>
      <c r="D194" s="259" t="s">
        <v>413</v>
      </c>
      <c r="E194" s="187">
        <v>28</v>
      </c>
      <c r="F194" s="131"/>
      <c r="G194" s="197" t="s">
        <v>107</v>
      </c>
      <c r="H194" s="249">
        <v>3406608</v>
      </c>
      <c r="I194" s="131">
        <f t="shared" ref="I194:I200" si="20">H194-J194</f>
        <v>1875822</v>
      </c>
      <c r="J194" s="249">
        <v>1530786</v>
      </c>
      <c r="K194" s="256">
        <f>809586+557148+648400</f>
        <v>2015134</v>
      </c>
      <c r="L194" s="203">
        <f>648400+809586+557148</f>
        <v>2015134</v>
      </c>
      <c r="M194" s="127">
        <f>H194-(J194+K194)</f>
        <v>-139312</v>
      </c>
      <c r="N194" s="127">
        <v>0</v>
      </c>
    </row>
    <row r="195" spans="1:21" ht="120" x14ac:dyDescent="0.25">
      <c r="A195" s="167">
        <v>9</v>
      </c>
      <c r="B195" s="127" t="s">
        <v>414</v>
      </c>
      <c r="C195" s="127" t="s">
        <v>69</v>
      </c>
      <c r="D195" s="259" t="s">
        <v>415</v>
      </c>
      <c r="E195" s="369">
        <v>28</v>
      </c>
      <c r="F195" s="127"/>
      <c r="G195" s="197" t="s">
        <v>107</v>
      </c>
      <c r="H195" s="257">
        <v>240315</v>
      </c>
      <c r="I195" s="131">
        <f t="shared" si="20"/>
        <v>240315</v>
      </c>
      <c r="J195" s="257">
        <v>0</v>
      </c>
      <c r="K195" s="256">
        <v>101004</v>
      </c>
      <c r="L195" s="178">
        <f>101004</f>
        <v>101004</v>
      </c>
      <c r="M195" s="127">
        <f>H195-(J195+K195)</f>
        <v>139311</v>
      </c>
      <c r="N195" s="127">
        <v>0</v>
      </c>
    </row>
    <row r="196" spans="1:21" ht="75" x14ac:dyDescent="0.25">
      <c r="A196" s="167">
        <v>21</v>
      </c>
      <c r="B196" s="197">
        <v>1617300004</v>
      </c>
      <c r="C196" s="249" t="s">
        <v>439</v>
      </c>
      <c r="D196" s="40" t="s">
        <v>440</v>
      </c>
      <c r="E196" s="187">
        <v>28</v>
      </c>
      <c r="F196" s="131" t="s">
        <v>31</v>
      </c>
      <c r="G196" s="197" t="s">
        <v>107</v>
      </c>
      <c r="H196" s="131">
        <v>1661026</v>
      </c>
      <c r="I196" s="131">
        <f t="shared" si="20"/>
        <v>1661026</v>
      </c>
      <c r="J196" s="131">
        <v>0</v>
      </c>
      <c r="K196" s="250">
        <f>600000+244878+816148</f>
        <v>1661026</v>
      </c>
      <c r="L196" s="178">
        <f>600000+244878+816148</f>
        <v>1661026</v>
      </c>
      <c r="M196" s="127">
        <f>H196-(J196+K196)</f>
        <v>0</v>
      </c>
      <c r="N196" s="127">
        <f>M196</f>
        <v>0</v>
      </c>
    </row>
    <row r="197" spans="1:21" ht="75" x14ac:dyDescent="0.25">
      <c r="A197" s="93">
        <v>22</v>
      </c>
      <c r="B197" s="197">
        <v>1617300005</v>
      </c>
      <c r="C197" s="197" t="s">
        <v>441</v>
      </c>
      <c r="D197" s="197" t="s">
        <v>442</v>
      </c>
      <c r="E197" s="187">
        <v>28</v>
      </c>
      <c r="F197" s="131" t="s">
        <v>17</v>
      </c>
      <c r="G197" s="197" t="s">
        <v>107</v>
      </c>
      <c r="H197" s="40">
        <v>497327</v>
      </c>
      <c r="I197" s="131">
        <f t="shared" si="20"/>
        <v>497327</v>
      </c>
      <c r="J197" s="131">
        <v>0</v>
      </c>
      <c r="K197" s="250">
        <v>286416</v>
      </c>
      <c r="L197" s="301">
        <f>286416+210911</f>
        <v>497327</v>
      </c>
      <c r="M197" s="127">
        <f>I197-L197</f>
        <v>0</v>
      </c>
      <c r="N197" s="127">
        <f>M197</f>
        <v>0</v>
      </c>
    </row>
    <row r="198" spans="1:21" ht="75" x14ac:dyDescent="0.25">
      <c r="A198" s="167">
        <v>23</v>
      </c>
      <c r="B198" s="40">
        <v>1617300006</v>
      </c>
      <c r="C198" s="40" t="s">
        <v>443</v>
      </c>
      <c r="D198" s="40" t="s">
        <v>444</v>
      </c>
      <c r="E198" s="187">
        <v>28</v>
      </c>
      <c r="F198" s="131" t="s">
        <v>66</v>
      </c>
      <c r="G198" s="197" t="s">
        <v>107</v>
      </c>
      <c r="H198" s="40">
        <v>1521441</v>
      </c>
      <c r="I198" s="131">
        <f t="shared" si="20"/>
        <v>1521441</v>
      </c>
      <c r="J198" s="131">
        <v>0</v>
      </c>
      <c r="K198" s="250">
        <v>673555</v>
      </c>
      <c r="L198" s="178">
        <f>673555</f>
        <v>673555</v>
      </c>
      <c r="M198" s="127">
        <f>H198-(J198+K198)</f>
        <v>847886</v>
      </c>
      <c r="N198" s="127">
        <f>M198</f>
        <v>847886</v>
      </c>
    </row>
    <row r="199" spans="1:21" ht="75" x14ac:dyDescent="0.25">
      <c r="A199" s="93">
        <v>30</v>
      </c>
      <c r="B199" s="79">
        <v>1617300022</v>
      </c>
      <c r="C199" s="176" t="s">
        <v>69</v>
      </c>
      <c r="D199" s="222" t="s">
        <v>464</v>
      </c>
      <c r="E199" s="369">
        <v>28</v>
      </c>
      <c r="F199" s="127" t="s">
        <v>17</v>
      </c>
      <c r="G199" s="197" t="s">
        <v>107</v>
      </c>
      <c r="H199" s="105">
        <v>391414</v>
      </c>
      <c r="I199" s="131">
        <f t="shared" si="20"/>
        <v>391414</v>
      </c>
      <c r="J199" s="177">
        <v>0</v>
      </c>
      <c r="K199" s="250">
        <v>391414</v>
      </c>
      <c r="L199" s="178">
        <f>391414</f>
        <v>391414</v>
      </c>
      <c r="M199" s="127">
        <f>H199-(J199+K199)</f>
        <v>0</v>
      </c>
      <c r="N199" s="127">
        <f>M199</f>
        <v>0</v>
      </c>
    </row>
    <row r="200" spans="1:21" ht="75" x14ac:dyDescent="0.25">
      <c r="A200" s="167">
        <v>38</v>
      </c>
      <c r="B200" s="141">
        <v>1617300026</v>
      </c>
      <c r="C200" s="136" t="s">
        <v>439</v>
      </c>
      <c r="D200" s="116" t="s">
        <v>465</v>
      </c>
      <c r="E200" s="384">
        <v>28</v>
      </c>
      <c r="F200" s="136" t="s">
        <v>495</v>
      </c>
      <c r="G200" s="116" t="s">
        <v>107</v>
      </c>
      <c r="H200" s="136">
        <v>20070</v>
      </c>
      <c r="I200" s="136">
        <f t="shared" si="20"/>
        <v>20070</v>
      </c>
      <c r="J200" s="326">
        <v>0</v>
      </c>
      <c r="K200" s="136">
        <v>0</v>
      </c>
      <c r="L200" s="301">
        <v>20070</v>
      </c>
      <c r="M200" s="136">
        <f>H200-(J200+K200)</f>
        <v>20070</v>
      </c>
      <c r="N200" s="136">
        <v>0</v>
      </c>
      <c r="R200" s="62"/>
      <c r="S200" s="62"/>
      <c r="T200" s="62"/>
      <c r="U200" s="62"/>
    </row>
    <row r="201" spans="1:21" ht="105" x14ac:dyDescent="0.25">
      <c r="A201" s="167"/>
      <c r="B201" s="141">
        <v>1617300034</v>
      </c>
      <c r="C201" s="65" t="s">
        <v>925</v>
      </c>
      <c r="D201" s="65" t="s">
        <v>924</v>
      </c>
      <c r="E201" s="384">
        <v>28</v>
      </c>
      <c r="F201" s="136" t="s">
        <v>495</v>
      </c>
      <c r="G201" s="116" t="s">
        <v>107</v>
      </c>
      <c r="H201" s="72"/>
      <c r="I201" s="131">
        <v>98935</v>
      </c>
      <c r="J201" s="72">
        <v>0</v>
      </c>
      <c r="K201" s="162"/>
      <c r="L201" s="419">
        <v>98935</v>
      </c>
      <c r="M201" s="100">
        <f>I201-L201</f>
        <v>0</v>
      </c>
      <c r="N201" s="127"/>
    </row>
    <row r="202" spans="1:21" ht="51" x14ac:dyDescent="0.25">
      <c r="A202" s="167">
        <v>7</v>
      </c>
      <c r="B202" s="72">
        <v>300049</v>
      </c>
      <c r="C202" s="65" t="s">
        <v>411</v>
      </c>
      <c r="D202" s="65" t="s">
        <v>412</v>
      </c>
      <c r="E202" s="369">
        <v>29</v>
      </c>
      <c r="F202" s="72" t="s">
        <v>17</v>
      </c>
      <c r="G202" s="52" t="s">
        <v>107</v>
      </c>
      <c r="H202" s="72">
        <v>270000</v>
      </c>
      <c r="I202" s="131">
        <f t="shared" ref="I202:I215" si="21">H202-J202</f>
        <v>80000</v>
      </c>
      <c r="J202" s="72">
        <v>190000</v>
      </c>
      <c r="K202" s="162">
        <v>80000</v>
      </c>
      <c r="L202" s="255">
        <v>80000</v>
      </c>
      <c r="M202" s="52"/>
      <c r="N202" s="127"/>
    </row>
    <row r="203" spans="1:21" ht="75" x14ac:dyDescent="0.25">
      <c r="A203" s="93">
        <v>24</v>
      </c>
      <c r="B203" s="197">
        <v>1617300007</v>
      </c>
      <c r="C203" s="197" t="s">
        <v>445</v>
      </c>
      <c r="D203" s="197" t="s">
        <v>446</v>
      </c>
      <c r="E203" s="369">
        <v>29</v>
      </c>
      <c r="F203" s="127" t="s">
        <v>31</v>
      </c>
      <c r="G203" s="197" t="s">
        <v>107</v>
      </c>
      <c r="H203" s="197">
        <v>487000</v>
      </c>
      <c r="I203" s="131">
        <f t="shared" si="21"/>
        <v>487000</v>
      </c>
      <c r="J203" s="127">
        <v>0</v>
      </c>
      <c r="K203" s="265">
        <f>150000+160000</f>
        <v>310000</v>
      </c>
      <c r="L203" s="301">
        <f>150000+160000+177000</f>
        <v>487000</v>
      </c>
      <c r="M203" s="127">
        <f t="shared" ref="M203:M211" si="22">H203-(J203+K203)</f>
        <v>177000</v>
      </c>
      <c r="N203" s="127">
        <f>M203</f>
        <v>177000</v>
      </c>
    </row>
    <row r="204" spans="1:21" ht="51" x14ac:dyDescent="0.25">
      <c r="A204" s="167">
        <v>33</v>
      </c>
      <c r="B204" s="342" t="s">
        <v>194</v>
      </c>
      <c r="C204" s="131" t="s">
        <v>383</v>
      </c>
      <c r="D204" s="160" t="s">
        <v>473</v>
      </c>
      <c r="E204" s="187">
        <v>29</v>
      </c>
      <c r="F204" s="131" t="s">
        <v>20</v>
      </c>
      <c r="G204" s="176" t="s">
        <v>107</v>
      </c>
      <c r="H204" s="131">
        <v>15800</v>
      </c>
      <c r="I204" s="131">
        <f t="shared" si="21"/>
        <v>15800</v>
      </c>
      <c r="J204" s="131">
        <v>0</v>
      </c>
      <c r="K204" s="250">
        <v>15800</v>
      </c>
      <c r="L204" s="178">
        <v>15800</v>
      </c>
      <c r="M204" s="127">
        <f t="shared" si="22"/>
        <v>0</v>
      </c>
      <c r="N204" s="127">
        <f>M204</f>
        <v>0</v>
      </c>
    </row>
    <row r="205" spans="1:21" ht="60" x14ac:dyDescent="0.25">
      <c r="A205" s="93">
        <v>2</v>
      </c>
      <c r="B205" s="131">
        <v>300037</v>
      </c>
      <c r="C205" s="40" t="s">
        <v>399</v>
      </c>
      <c r="D205" s="222" t="s">
        <v>400</v>
      </c>
      <c r="E205" s="370">
        <v>29</v>
      </c>
      <c r="F205" s="249" t="s">
        <v>17</v>
      </c>
      <c r="G205" s="222" t="s">
        <v>18</v>
      </c>
      <c r="H205" s="131">
        <v>300000</v>
      </c>
      <c r="I205" s="131">
        <f t="shared" si="21"/>
        <v>100000</v>
      </c>
      <c r="J205" s="131">
        <v>200000</v>
      </c>
      <c r="K205" s="250">
        <v>100000</v>
      </c>
      <c r="L205" s="178">
        <f>100000</f>
        <v>100000</v>
      </c>
      <c r="M205" s="127">
        <f t="shared" si="22"/>
        <v>0</v>
      </c>
      <c r="N205" s="127">
        <f>M205</f>
        <v>0</v>
      </c>
    </row>
    <row r="206" spans="1:21" ht="60" x14ac:dyDescent="0.25">
      <c r="A206" s="167">
        <v>13</v>
      </c>
      <c r="B206" s="131">
        <v>300066</v>
      </c>
      <c r="C206" s="40" t="s">
        <v>422</v>
      </c>
      <c r="D206" s="40" t="s">
        <v>423</v>
      </c>
      <c r="E206" s="187">
        <v>29</v>
      </c>
      <c r="F206" s="131" t="s">
        <v>17</v>
      </c>
      <c r="G206" s="197" t="s">
        <v>18</v>
      </c>
      <c r="H206" s="131">
        <v>450000</v>
      </c>
      <c r="I206" s="131">
        <f t="shared" si="21"/>
        <v>450000</v>
      </c>
      <c r="J206" s="131">
        <v>0</v>
      </c>
      <c r="K206" s="250">
        <f>150000+150000+150000</f>
        <v>450000</v>
      </c>
      <c r="L206" s="178">
        <f>150000+150000+150000</f>
        <v>450000</v>
      </c>
      <c r="M206" s="127">
        <f t="shared" si="22"/>
        <v>0</v>
      </c>
      <c r="N206" s="127">
        <f>M206</f>
        <v>0</v>
      </c>
    </row>
    <row r="207" spans="1:21" ht="60" x14ac:dyDescent="0.25">
      <c r="A207" s="167">
        <v>17</v>
      </c>
      <c r="B207" s="131">
        <v>300073</v>
      </c>
      <c r="C207" s="40" t="s">
        <v>430</v>
      </c>
      <c r="D207" s="40" t="s">
        <v>431</v>
      </c>
      <c r="E207" s="187">
        <v>29</v>
      </c>
      <c r="F207" s="131" t="s">
        <v>31</v>
      </c>
      <c r="G207" s="197" t="s">
        <v>18</v>
      </c>
      <c r="H207" s="131">
        <v>300000</v>
      </c>
      <c r="I207" s="131">
        <f t="shared" si="21"/>
        <v>300000</v>
      </c>
      <c r="J207" s="131">
        <v>0</v>
      </c>
      <c r="K207" s="250">
        <v>100000</v>
      </c>
      <c r="L207" s="178">
        <f>100000</f>
        <v>100000</v>
      </c>
      <c r="M207" s="127">
        <f t="shared" si="22"/>
        <v>200000</v>
      </c>
      <c r="N207" s="127">
        <f>M207</f>
        <v>200000</v>
      </c>
    </row>
    <row r="208" spans="1:21" ht="60" x14ac:dyDescent="0.25">
      <c r="A208" s="93">
        <v>28</v>
      </c>
      <c r="B208" s="40">
        <v>1617300019</v>
      </c>
      <c r="C208" s="40" t="s">
        <v>460</v>
      </c>
      <c r="D208" s="40" t="s">
        <v>461</v>
      </c>
      <c r="E208" s="187">
        <v>29</v>
      </c>
      <c r="F208" s="131" t="s">
        <v>31</v>
      </c>
      <c r="G208" s="197" t="s">
        <v>18</v>
      </c>
      <c r="H208" s="131">
        <v>497100</v>
      </c>
      <c r="I208" s="131">
        <f t="shared" si="21"/>
        <v>497100</v>
      </c>
      <c r="J208" s="131">
        <v>0</v>
      </c>
      <c r="K208" s="250">
        <v>165000</v>
      </c>
      <c r="L208" s="301">
        <f>165000+165000</f>
        <v>330000</v>
      </c>
      <c r="M208" s="127">
        <f t="shared" si="22"/>
        <v>332100</v>
      </c>
      <c r="N208" s="127">
        <f>M208/2</f>
        <v>166050</v>
      </c>
    </row>
    <row r="209" spans="1:21" ht="105" x14ac:dyDescent="0.25">
      <c r="A209" s="93">
        <v>32</v>
      </c>
      <c r="B209" s="40">
        <v>1617400030</v>
      </c>
      <c r="C209" s="40" t="s">
        <v>682</v>
      </c>
      <c r="D209" s="40" t="s">
        <v>683</v>
      </c>
      <c r="E209" s="342">
        <v>29</v>
      </c>
      <c r="F209" s="127" t="s">
        <v>500</v>
      </c>
      <c r="G209" s="40" t="s">
        <v>456</v>
      </c>
      <c r="H209" s="40">
        <v>28200</v>
      </c>
      <c r="I209" s="155">
        <f t="shared" si="21"/>
        <v>28200</v>
      </c>
      <c r="J209" s="127">
        <v>0</v>
      </c>
      <c r="K209" s="250">
        <v>25400</v>
      </c>
      <c r="L209" s="255">
        <v>25400</v>
      </c>
      <c r="M209" s="127">
        <f t="shared" si="22"/>
        <v>2800</v>
      </c>
      <c r="N209" s="127">
        <v>0</v>
      </c>
    </row>
    <row r="210" spans="1:21" ht="60" x14ac:dyDescent="0.25">
      <c r="A210" s="93">
        <v>28</v>
      </c>
      <c r="B210" s="40">
        <v>1617400023</v>
      </c>
      <c r="C210" s="40" t="s">
        <v>677</v>
      </c>
      <c r="D210" s="40" t="s">
        <v>678</v>
      </c>
      <c r="E210" s="342">
        <v>29</v>
      </c>
      <c r="F210" s="127" t="s">
        <v>500</v>
      </c>
      <c r="G210" s="40" t="s">
        <v>18</v>
      </c>
      <c r="H210" s="40">
        <v>332900</v>
      </c>
      <c r="I210" s="155">
        <f t="shared" si="21"/>
        <v>332900</v>
      </c>
      <c r="J210" s="127">
        <v>0</v>
      </c>
      <c r="K210" s="250">
        <v>110000</v>
      </c>
      <c r="L210" s="255">
        <v>110000</v>
      </c>
      <c r="M210" s="127">
        <f t="shared" si="22"/>
        <v>222900</v>
      </c>
      <c r="N210" s="127">
        <f>M210/2</f>
        <v>111450</v>
      </c>
    </row>
    <row r="211" spans="1:21" ht="75" x14ac:dyDescent="0.25">
      <c r="A211" s="93">
        <v>18</v>
      </c>
      <c r="B211" s="131">
        <v>300076</v>
      </c>
      <c r="C211" s="195" t="s">
        <v>432</v>
      </c>
      <c r="D211" s="263" t="s">
        <v>433</v>
      </c>
      <c r="E211" s="187">
        <v>30</v>
      </c>
      <c r="F211" s="131" t="s">
        <v>31</v>
      </c>
      <c r="G211" s="263" t="s">
        <v>107</v>
      </c>
      <c r="H211" s="131">
        <f>150000+150000</f>
        <v>300000</v>
      </c>
      <c r="I211" s="131">
        <f t="shared" si="21"/>
        <v>300000</v>
      </c>
      <c r="J211" s="131">
        <v>0</v>
      </c>
      <c r="K211" s="250">
        <f>55500+75750+46750+50000+18500</f>
        <v>246500</v>
      </c>
      <c r="L211" s="178">
        <f>75750+55500+46750+50000+18500+9000+40000</f>
        <v>295500</v>
      </c>
      <c r="M211" s="127">
        <f t="shared" si="22"/>
        <v>53500</v>
      </c>
      <c r="N211" s="127">
        <f>M211</f>
        <v>53500</v>
      </c>
    </row>
    <row r="212" spans="1:21" ht="51" x14ac:dyDescent="0.25">
      <c r="A212" s="167">
        <v>19</v>
      </c>
      <c r="B212" s="131">
        <v>300077</v>
      </c>
      <c r="C212" s="131" t="s">
        <v>434</v>
      </c>
      <c r="D212" s="263" t="s">
        <v>435</v>
      </c>
      <c r="E212" s="187">
        <v>30</v>
      </c>
      <c r="F212" s="131" t="s">
        <v>31</v>
      </c>
      <c r="G212" s="176" t="s">
        <v>107</v>
      </c>
      <c r="H212" s="131">
        <v>450000</v>
      </c>
      <c r="I212" s="131">
        <f t="shared" si="21"/>
        <v>450000</v>
      </c>
      <c r="J212" s="131">
        <v>0</v>
      </c>
      <c r="K212" s="127">
        <f>20000+30000+42000+44000</f>
        <v>136000</v>
      </c>
      <c r="L212" s="416">
        <f>20000+30000+42000+44000+41000</f>
        <v>177000</v>
      </c>
      <c r="M212" s="250">
        <f>I212-L212</f>
        <v>273000</v>
      </c>
      <c r="N212" s="105"/>
    </row>
    <row r="213" spans="1:21" ht="120" x14ac:dyDescent="0.25">
      <c r="A213" s="93">
        <v>26</v>
      </c>
      <c r="B213" s="197">
        <v>1617300010</v>
      </c>
      <c r="C213" s="197" t="s">
        <v>449</v>
      </c>
      <c r="D213" s="197" t="s">
        <v>450</v>
      </c>
      <c r="E213" s="187">
        <v>30</v>
      </c>
      <c r="F213" s="131" t="s">
        <v>66</v>
      </c>
      <c r="G213" s="197" t="s">
        <v>107</v>
      </c>
      <c r="H213" s="40">
        <v>167000</v>
      </c>
      <c r="I213" s="131">
        <f t="shared" si="21"/>
        <v>167000</v>
      </c>
      <c r="J213" s="131">
        <v>0</v>
      </c>
      <c r="K213" s="250">
        <v>166976</v>
      </c>
      <c r="L213" s="255">
        <v>166976</v>
      </c>
      <c r="M213" s="127">
        <v>0</v>
      </c>
      <c r="N213" s="127">
        <f>M213</f>
        <v>0</v>
      </c>
    </row>
    <row r="214" spans="1:21" ht="75" x14ac:dyDescent="0.25">
      <c r="A214" s="167">
        <v>27</v>
      </c>
      <c r="B214" s="197">
        <v>1617300013</v>
      </c>
      <c r="C214" s="197" t="s">
        <v>69</v>
      </c>
      <c r="D214" s="197" t="s">
        <v>457</v>
      </c>
      <c r="E214" s="369">
        <v>30</v>
      </c>
      <c r="F214" s="127" t="s">
        <v>20</v>
      </c>
      <c r="G214" s="197" t="s">
        <v>107</v>
      </c>
      <c r="H214" s="197">
        <v>24000</v>
      </c>
      <c r="I214" s="131">
        <f t="shared" si="21"/>
        <v>24000</v>
      </c>
      <c r="J214" s="127">
        <v>0</v>
      </c>
      <c r="K214" s="250">
        <v>24000</v>
      </c>
      <c r="L214" s="255">
        <v>24000</v>
      </c>
      <c r="M214" s="250">
        <f>H214-(J214+K214)</f>
        <v>0</v>
      </c>
      <c r="N214" s="127">
        <f>M214</f>
        <v>0</v>
      </c>
    </row>
    <row r="215" spans="1:21" ht="51" x14ac:dyDescent="0.25">
      <c r="A215" s="167">
        <v>31</v>
      </c>
      <c r="B215" s="40" t="s">
        <v>468</v>
      </c>
      <c r="C215" s="131" t="s">
        <v>469</v>
      </c>
      <c r="D215" s="160" t="s">
        <v>470</v>
      </c>
      <c r="E215" s="187">
        <v>30</v>
      </c>
      <c r="F215" s="131" t="s">
        <v>31</v>
      </c>
      <c r="G215" s="176" t="s">
        <v>18</v>
      </c>
      <c r="H215" s="131">
        <v>60000</v>
      </c>
      <c r="I215" s="131">
        <f t="shared" si="21"/>
        <v>60000</v>
      </c>
      <c r="J215" s="131">
        <v>0</v>
      </c>
      <c r="K215" s="250">
        <v>30000</v>
      </c>
      <c r="L215" s="255">
        <v>30000</v>
      </c>
      <c r="M215" s="127">
        <f>H215-(J215+K215)</f>
        <v>30000</v>
      </c>
      <c r="N215" s="127">
        <v>0</v>
      </c>
    </row>
    <row r="216" spans="1:21" ht="75" x14ac:dyDescent="0.25">
      <c r="A216" s="72"/>
      <c r="B216" s="243">
        <v>1617300024</v>
      </c>
      <c r="C216" s="244" t="s">
        <v>392</v>
      </c>
      <c r="D216" s="244" t="s">
        <v>393</v>
      </c>
      <c r="E216" s="91">
        <v>30</v>
      </c>
      <c r="F216" s="6" t="s">
        <v>495</v>
      </c>
      <c r="G216" s="6" t="s">
        <v>107</v>
      </c>
      <c r="H216" s="6"/>
      <c r="I216" s="241">
        <v>50000</v>
      </c>
      <c r="J216" s="241">
        <v>0</v>
      </c>
      <c r="K216" s="241">
        <v>0</v>
      </c>
      <c r="L216" s="413">
        <v>50000</v>
      </c>
      <c r="M216" s="241">
        <f>I216-(J216+L216)</f>
        <v>0</v>
      </c>
      <c r="N216" s="241"/>
    </row>
    <row r="217" spans="1:21" s="48" customFormat="1" ht="75" x14ac:dyDescent="0.25">
      <c r="A217" s="412">
        <v>80</v>
      </c>
      <c r="B217" s="67">
        <v>1617100016</v>
      </c>
      <c r="C217" s="67" t="s">
        <v>105</v>
      </c>
      <c r="D217" s="67" t="s">
        <v>106</v>
      </c>
      <c r="E217" s="353">
        <v>31</v>
      </c>
      <c r="F217" s="127" t="s">
        <v>20</v>
      </c>
      <c r="G217" s="138" t="s">
        <v>107</v>
      </c>
      <c r="H217" s="68">
        <v>472500</v>
      </c>
      <c r="I217" s="103">
        <f t="shared" ref="I217:I249" si="23">H217-J217</f>
        <v>472500</v>
      </c>
      <c r="J217" s="42">
        <v>0</v>
      </c>
      <c r="K217" s="42">
        <v>0</v>
      </c>
      <c r="L217" s="408">
        <v>472500</v>
      </c>
      <c r="M217" s="14">
        <f>H217-(J217+L217)</f>
        <v>0</v>
      </c>
      <c r="N217" s="53">
        <f>M217</f>
        <v>0</v>
      </c>
      <c r="O217" s="66"/>
      <c r="P217" s="66"/>
      <c r="Q217" s="146">
        <f>K217-L217</f>
        <v>-472500</v>
      </c>
      <c r="R217" s="264"/>
      <c r="S217" s="264"/>
      <c r="T217" s="264"/>
      <c r="U217" s="264"/>
    </row>
    <row r="218" spans="1:21" ht="60" x14ac:dyDescent="0.25">
      <c r="A218" s="167">
        <v>1</v>
      </c>
      <c r="B218" s="40">
        <v>300003</v>
      </c>
      <c r="C218" s="160" t="s">
        <v>397</v>
      </c>
      <c r="D218" s="40" t="s">
        <v>398</v>
      </c>
      <c r="E218" s="187">
        <v>32</v>
      </c>
      <c r="F218" s="131"/>
      <c r="G218" s="197" t="s">
        <v>18</v>
      </c>
      <c r="H218" s="131">
        <v>247500</v>
      </c>
      <c r="I218" s="131">
        <f t="shared" si="23"/>
        <v>200000</v>
      </c>
      <c r="J218" s="127">
        <v>47500</v>
      </c>
      <c r="K218" s="247">
        <f>47500</f>
        <v>47500</v>
      </c>
      <c r="L218" s="301">
        <f>47500+74250</f>
        <v>121750</v>
      </c>
      <c r="M218" s="127">
        <f>I218-L218</f>
        <v>78250</v>
      </c>
      <c r="N218" s="127">
        <v>0</v>
      </c>
    </row>
    <row r="219" spans="1:21" ht="45" x14ac:dyDescent="0.25">
      <c r="A219" s="93">
        <v>6</v>
      </c>
      <c r="B219" s="131">
        <v>300043</v>
      </c>
      <c r="C219" s="131" t="s">
        <v>409</v>
      </c>
      <c r="D219" s="40" t="s">
        <v>410</v>
      </c>
      <c r="E219" s="187">
        <v>32</v>
      </c>
      <c r="F219" s="131" t="s">
        <v>31</v>
      </c>
      <c r="G219" s="52" t="s">
        <v>18</v>
      </c>
      <c r="H219" s="131">
        <v>193000</v>
      </c>
      <c r="I219" s="131">
        <f t="shared" si="23"/>
        <v>153000</v>
      </c>
      <c r="J219" s="131">
        <v>40000</v>
      </c>
      <c r="K219" s="250">
        <v>30000</v>
      </c>
      <c r="L219" s="255">
        <v>30000</v>
      </c>
      <c r="M219" s="127">
        <f t="shared" ref="M219:M228" si="24">H219-(J219+K219)</f>
        <v>123000</v>
      </c>
      <c r="N219" s="127">
        <v>0</v>
      </c>
    </row>
    <row r="220" spans="1:21" ht="60" x14ac:dyDescent="0.25">
      <c r="A220" s="93">
        <v>14</v>
      </c>
      <c r="B220" s="131">
        <v>300071</v>
      </c>
      <c r="C220" s="195" t="s">
        <v>424</v>
      </c>
      <c r="D220" s="222" t="s">
        <v>425</v>
      </c>
      <c r="E220" s="187">
        <v>32</v>
      </c>
      <c r="F220" s="131" t="s">
        <v>20</v>
      </c>
      <c r="G220" s="222" t="s">
        <v>18</v>
      </c>
      <c r="H220" s="131">
        <v>15000</v>
      </c>
      <c r="I220" s="131">
        <f t="shared" si="23"/>
        <v>15000</v>
      </c>
      <c r="J220" s="131">
        <v>0</v>
      </c>
      <c r="K220" s="250">
        <v>15000</v>
      </c>
      <c r="L220" s="178">
        <f>15000</f>
        <v>15000</v>
      </c>
      <c r="M220" s="127">
        <f t="shared" si="24"/>
        <v>0</v>
      </c>
      <c r="N220" s="127">
        <f>M220</f>
        <v>0</v>
      </c>
    </row>
    <row r="221" spans="1:21" ht="60" x14ac:dyDescent="0.25">
      <c r="A221" s="167">
        <v>15</v>
      </c>
      <c r="B221" s="131" t="s">
        <v>426</v>
      </c>
      <c r="C221" s="195" t="s">
        <v>427</v>
      </c>
      <c r="D221" s="222" t="s">
        <v>425</v>
      </c>
      <c r="E221" s="368">
        <v>32</v>
      </c>
      <c r="F221" s="105" t="s">
        <v>31</v>
      </c>
      <c r="G221" s="222" t="s">
        <v>18</v>
      </c>
      <c r="H221" s="102">
        <v>197000</v>
      </c>
      <c r="I221" s="131">
        <f t="shared" si="23"/>
        <v>197000</v>
      </c>
      <c r="J221" s="102">
        <v>0</v>
      </c>
      <c r="K221" s="105">
        <v>60000</v>
      </c>
      <c r="L221" s="178">
        <v>60000</v>
      </c>
      <c r="M221" s="127">
        <f t="shared" si="24"/>
        <v>137000</v>
      </c>
      <c r="N221" s="127">
        <v>0</v>
      </c>
    </row>
    <row r="222" spans="1:21" ht="60" x14ac:dyDescent="0.25">
      <c r="A222" s="93">
        <v>32</v>
      </c>
      <c r="B222" s="342" t="s">
        <v>189</v>
      </c>
      <c r="C222" s="131" t="s">
        <v>471</v>
      </c>
      <c r="D222" s="40" t="s">
        <v>472</v>
      </c>
      <c r="E222" s="187">
        <v>32</v>
      </c>
      <c r="F222" s="131" t="s">
        <v>20</v>
      </c>
      <c r="G222" s="197" t="s">
        <v>18</v>
      </c>
      <c r="H222" s="131">
        <v>43675</v>
      </c>
      <c r="I222" s="131">
        <f t="shared" si="23"/>
        <v>43675</v>
      </c>
      <c r="J222" s="131">
        <v>0</v>
      </c>
      <c r="K222" s="250">
        <v>43675</v>
      </c>
      <c r="L222" s="255">
        <v>43675</v>
      </c>
      <c r="M222" s="127">
        <f t="shared" si="24"/>
        <v>0</v>
      </c>
      <c r="N222" s="127">
        <f>M222</f>
        <v>0</v>
      </c>
    </row>
    <row r="223" spans="1:21" ht="24" x14ac:dyDescent="0.2">
      <c r="A223" s="93"/>
      <c r="B223" s="309" t="s">
        <v>732</v>
      </c>
      <c r="C223" s="330" t="s">
        <v>733</v>
      </c>
      <c r="D223" s="330" t="s">
        <v>734</v>
      </c>
      <c r="E223" s="371">
        <v>32</v>
      </c>
      <c r="F223" s="127"/>
      <c r="G223" s="131" t="s">
        <v>18</v>
      </c>
      <c r="H223" s="52">
        <v>145730</v>
      </c>
      <c r="I223" s="155">
        <f t="shared" si="23"/>
        <v>145730</v>
      </c>
      <c r="J223" s="131">
        <v>0</v>
      </c>
      <c r="K223" s="131"/>
      <c r="L223" s="348">
        <v>154468.5</v>
      </c>
      <c r="M223" s="127">
        <f t="shared" si="24"/>
        <v>145730</v>
      </c>
      <c r="N223" s="127">
        <v>0</v>
      </c>
    </row>
    <row r="224" spans="1:21" ht="60" x14ac:dyDescent="0.25">
      <c r="A224" s="93">
        <v>42</v>
      </c>
      <c r="B224" s="131">
        <v>4500017082</v>
      </c>
      <c r="C224" s="131" t="s">
        <v>728</v>
      </c>
      <c r="D224" s="131" t="s">
        <v>729</v>
      </c>
      <c r="E224" s="187">
        <v>32</v>
      </c>
      <c r="F224" s="131" t="s">
        <v>495</v>
      </c>
      <c r="G224" s="40" t="s">
        <v>18</v>
      </c>
      <c r="H224" s="131">
        <v>20286</v>
      </c>
      <c r="I224" s="155">
        <f t="shared" si="23"/>
        <v>20286</v>
      </c>
      <c r="J224" s="131">
        <v>0</v>
      </c>
      <c r="K224" s="250">
        <v>20286</v>
      </c>
      <c r="L224" s="255">
        <v>20286</v>
      </c>
      <c r="M224" s="127">
        <f t="shared" si="24"/>
        <v>0</v>
      </c>
      <c r="N224" s="127">
        <f>M224</f>
        <v>0</v>
      </c>
    </row>
    <row r="225" spans="1:21" ht="60" x14ac:dyDescent="0.25">
      <c r="A225" s="93">
        <v>30</v>
      </c>
      <c r="B225" s="40">
        <v>1617400029</v>
      </c>
      <c r="C225" s="40" t="s">
        <v>680</v>
      </c>
      <c r="D225" s="40" t="s">
        <v>681</v>
      </c>
      <c r="E225" s="342">
        <v>32</v>
      </c>
      <c r="F225" s="127" t="s">
        <v>500</v>
      </c>
      <c r="G225" s="40" t="s">
        <v>18</v>
      </c>
      <c r="H225" s="40">
        <v>450000</v>
      </c>
      <c r="I225" s="155">
        <f t="shared" si="23"/>
        <v>450000</v>
      </c>
      <c r="J225" s="127">
        <v>0</v>
      </c>
      <c r="K225" s="250">
        <v>150000</v>
      </c>
      <c r="L225" s="255">
        <v>150000</v>
      </c>
      <c r="M225" s="127">
        <f t="shared" si="24"/>
        <v>300000</v>
      </c>
      <c r="N225" s="127">
        <v>0</v>
      </c>
    </row>
    <row r="226" spans="1:21" ht="63.75" x14ac:dyDescent="0.25">
      <c r="A226" s="93">
        <v>10</v>
      </c>
      <c r="B226" s="131">
        <v>300053</v>
      </c>
      <c r="C226" s="131" t="s">
        <v>416</v>
      </c>
      <c r="D226" s="259" t="s">
        <v>417</v>
      </c>
      <c r="E226" s="187">
        <v>33</v>
      </c>
      <c r="F226" s="131" t="s">
        <v>31</v>
      </c>
      <c r="G226" s="52" t="s">
        <v>137</v>
      </c>
      <c r="H226" s="131">
        <v>925000</v>
      </c>
      <c r="I226" s="131">
        <f t="shared" si="23"/>
        <v>925000</v>
      </c>
      <c r="J226" s="131">
        <v>0</v>
      </c>
      <c r="K226" s="250">
        <v>300000</v>
      </c>
      <c r="L226" s="301">
        <f>300000+300000</f>
        <v>600000</v>
      </c>
      <c r="M226" s="127">
        <f t="shared" si="24"/>
        <v>625000</v>
      </c>
      <c r="N226" s="127">
        <v>0</v>
      </c>
    </row>
    <row r="227" spans="1:21" ht="90" x14ac:dyDescent="0.25">
      <c r="A227" s="93">
        <v>24</v>
      </c>
      <c r="B227" s="167">
        <v>400032</v>
      </c>
      <c r="C227" s="320" t="s">
        <v>606</v>
      </c>
      <c r="D227" s="331" t="s">
        <v>607</v>
      </c>
      <c r="E227" s="372">
        <v>33</v>
      </c>
      <c r="F227" s="131" t="s">
        <v>500</v>
      </c>
      <c r="G227" s="40" t="s">
        <v>137</v>
      </c>
      <c r="H227" s="102">
        <v>3392148</v>
      </c>
      <c r="I227" s="155">
        <f t="shared" si="23"/>
        <v>3392148</v>
      </c>
      <c r="J227" s="131">
        <v>0</v>
      </c>
      <c r="K227" s="261">
        <v>912210</v>
      </c>
      <c r="L227" s="340">
        <v>1054172</v>
      </c>
      <c r="M227" s="127">
        <f t="shared" si="24"/>
        <v>2479938</v>
      </c>
      <c r="N227" s="127">
        <f>M227/3</f>
        <v>826646</v>
      </c>
    </row>
    <row r="228" spans="1:21" ht="90" x14ac:dyDescent="0.25">
      <c r="A228" s="93">
        <v>16</v>
      </c>
      <c r="B228" s="328">
        <v>400078</v>
      </c>
      <c r="C228" s="329" t="s">
        <v>650</v>
      </c>
      <c r="D228" s="332" t="s">
        <v>651</v>
      </c>
      <c r="E228" s="374">
        <v>34</v>
      </c>
      <c r="F228" s="131" t="s">
        <v>500</v>
      </c>
      <c r="G228" s="40" t="s">
        <v>137</v>
      </c>
      <c r="H228" s="327">
        <v>424095</v>
      </c>
      <c r="I228" s="155">
        <f t="shared" si="23"/>
        <v>424095</v>
      </c>
      <c r="J228" s="131">
        <v>0</v>
      </c>
      <c r="K228" s="250">
        <f>141365</f>
        <v>141365</v>
      </c>
      <c r="L228" s="255">
        <f>141365</f>
        <v>141365</v>
      </c>
      <c r="M228" s="127">
        <f t="shared" si="24"/>
        <v>282730</v>
      </c>
      <c r="N228" s="127">
        <v>0</v>
      </c>
    </row>
    <row r="229" spans="1:21" ht="114.75" x14ac:dyDescent="0.25">
      <c r="A229" s="93">
        <v>2</v>
      </c>
      <c r="B229" s="88">
        <v>400059</v>
      </c>
      <c r="C229" s="258" t="s">
        <v>622</v>
      </c>
      <c r="D229" s="263" t="s">
        <v>623</v>
      </c>
      <c r="E229" s="373">
        <v>35</v>
      </c>
      <c r="F229" s="131" t="s">
        <v>500</v>
      </c>
      <c r="G229" s="40" t="s">
        <v>137</v>
      </c>
      <c r="H229" s="88">
        <v>496000</v>
      </c>
      <c r="I229" s="155">
        <f t="shared" si="23"/>
        <v>496000</v>
      </c>
      <c r="J229" s="131">
        <v>0</v>
      </c>
      <c r="K229" s="250">
        <f>165000+175000</f>
        <v>340000</v>
      </c>
      <c r="L229" s="419">
        <f>165000+175000+15600</f>
        <v>355600</v>
      </c>
      <c r="M229" s="250">
        <f>I229-L229</f>
        <v>140400</v>
      </c>
      <c r="N229" s="127">
        <f>M229</f>
        <v>140400</v>
      </c>
    </row>
    <row r="230" spans="1:21" ht="90" x14ac:dyDescent="0.25">
      <c r="A230" s="93">
        <v>19</v>
      </c>
      <c r="B230" s="88">
        <v>400082</v>
      </c>
      <c r="C230" s="131" t="s">
        <v>653</v>
      </c>
      <c r="D230" s="197" t="s">
        <v>654</v>
      </c>
      <c r="E230" s="365">
        <v>36</v>
      </c>
      <c r="F230" s="131" t="s">
        <v>495</v>
      </c>
      <c r="G230" s="40" t="s">
        <v>137</v>
      </c>
      <c r="H230" s="333">
        <f>42400+9840</f>
        <v>52240</v>
      </c>
      <c r="I230" s="155">
        <f t="shared" si="23"/>
        <v>52240</v>
      </c>
      <c r="J230" s="131">
        <v>0</v>
      </c>
      <c r="K230" s="250">
        <f>42400+9840</f>
        <v>52240</v>
      </c>
      <c r="L230" s="255">
        <f>42400+9840</f>
        <v>52240</v>
      </c>
      <c r="M230" s="127">
        <f>H230-(J230+K230)</f>
        <v>0</v>
      </c>
      <c r="N230" s="127">
        <f>M230</f>
        <v>0</v>
      </c>
    </row>
    <row r="231" spans="1:21" ht="90" x14ac:dyDescent="0.25">
      <c r="A231" s="93">
        <v>7</v>
      </c>
      <c r="B231" s="88">
        <v>400065</v>
      </c>
      <c r="C231" s="131" t="s">
        <v>632</v>
      </c>
      <c r="D231" s="40" t="s">
        <v>633</v>
      </c>
      <c r="E231" s="342">
        <v>36</v>
      </c>
      <c r="F231" s="131" t="s">
        <v>500</v>
      </c>
      <c r="G231" s="40" t="s">
        <v>137</v>
      </c>
      <c r="H231" s="88">
        <v>396560</v>
      </c>
      <c r="I231" s="155">
        <f t="shared" si="23"/>
        <v>396560</v>
      </c>
      <c r="J231" s="131">
        <v>0</v>
      </c>
      <c r="K231" s="250">
        <f>150000+150000</f>
        <v>300000</v>
      </c>
      <c r="L231" s="419">
        <f>150000+150000+96560</f>
        <v>396560</v>
      </c>
      <c r="M231" s="250">
        <f>I231-L231</f>
        <v>0</v>
      </c>
      <c r="N231" s="127">
        <f>M231</f>
        <v>0</v>
      </c>
    </row>
    <row r="232" spans="1:21" ht="90" x14ac:dyDescent="0.25">
      <c r="A232" s="93"/>
      <c r="B232" s="116">
        <v>1617400065</v>
      </c>
      <c r="C232" s="116" t="s">
        <v>397</v>
      </c>
      <c r="D232" s="116" t="s">
        <v>715</v>
      </c>
      <c r="E232" s="383">
        <v>36</v>
      </c>
      <c r="F232" s="136" t="s">
        <v>495</v>
      </c>
      <c r="G232" s="116" t="s">
        <v>137</v>
      </c>
      <c r="H232" s="116">
        <v>14600</v>
      </c>
      <c r="I232" s="345">
        <f t="shared" si="23"/>
        <v>14600</v>
      </c>
      <c r="J232" s="136">
        <v>0</v>
      </c>
      <c r="K232" s="275"/>
      <c r="L232" s="419">
        <v>14600</v>
      </c>
      <c r="M232" s="275">
        <f>I232-L232</f>
        <v>0</v>
      </c>
      <c r="N232" s="136">
        <f>M232</f>
        <v>0</v>
      </c>
      <c r="R232" s="62"/>
      <c r="S232" s="62"/>
      <c r="T232" s="62"/>
      <c r="U232" s="62"/>
    </row>
    <row r="233" spans="1:21" ht="90" x14ac:dyDescent="0.25">
      <c r="A233"/>
      <c r="B233" s="274">
        <v>1617400078</v>
      </c>
      <c r="C233" s="274" t="s">
        <v>69</v>
      </c>
      <c r="D233" s="321" t="s">
        <v>726</v>
      </c>
      <c r="E233" s="342">
        <v>36</v>
      </c>
      <c r="F233" s="131" t="s">
        <v>495</v>
      </c>
      <c r="G233" s="40" t="s">
        <v>137</v>
      </c>
      <c r="H233" s="131"/>
      <c r="I233" s="296">
        <v>218978</v>
      </c>
      <c r="J233" s="296"/>
      <c r="K233" s="127"/>
      <c r="L233" s="301">
        <f>149552+69426</f>
        <v>218978</v>
      </c>
      <c r="M233" s="131"/>
    </row>
    <row r="234" spans="1:21" ht="90" x14ac:dyDescent="0.25">
      <c r="A234" s="93">
        <v>37</v>
      </c>
      <c r="B234" s="131"/>
      <c r="C234" s="197" t="s">
        <v>197</v>
      </c>
      <c r="D234" s="197" t="s">
        <v>596</v>
      </c>
      <c r="E234" s="365">
        <v>37</v>
      </c>
      <c r="F234" s="127" t="s">
        <v>500</v>
      </c>
      <c r="G234" s="52" t="s">
        <v>137</v>
      </c>
      <c r="H234" s="127">
        <v>590000</v>
      </c>
      <c r="I234" s="40">
        <f t="shared" si="23"/>
        <v>590000</v>
      </c>
      <c r="J234" s="127">
        <v>0</v>
      </c>
      <c r="K234" s="127">
        <v>445000</v>
      </c>
      <c r="L234" s="301">
        <v>590000</v>
      </c>
      <c r="M234" s="127">
        <f>H234-(J234+L234)</f>
        <v>0</v>
      </c>
      <c r="N234" s="127">
        <f>M234</f>
        <v>0</v>
      </c>
    </row>
    <row r="235" spans="1:21" ht="51" x14ac:dyDescent="0.25">
      <c r="A235" s="9">
        <v>50</v>
      </c>
      <c r="B235" s="79">
        <v>1617100034</v>
      </c>
      <c r="C235" s="79" t="s">
        <v>135</v>
      </c>
      <c r="D235" s="79" t="s">
        <v>136</v>
      </c>
      <c r="E235" s="167">
        <v>38</v>
      </c>
      <c r="F235" s="59" t="s">
        <v>31</v>
      </c>
      <c r="G235" s="132" t="s">
        <v>137</v>
      </c>
      <c r="H235" s="79">
        <v>419000</v>
      </c>
      <c r="I235" s="100">
        <f t="shared" si="23"/>
        <v>419000</v>
      </c>
      <c r="J235" s="59">
        <v>0</v>
      </c>
      <c r="K235" s="59">
        <v>0</v>
      </c>
      <c r="L235" s="406">
        <f>100000+150000</f>
        <v>250000</v>
      </c>
      <c r="M235" s="14">
        <f>H235-(J235+L235)</f>
        <v>169000</v>
      </c>
      <c r="N235" s="27">
        <v>0</v>
      </c>
      <c r="O235" s="62"/>
      <c r="P235" s="62"/>
      <c r="Q235" s="17">
        <f>K235-L235</f>
        <v>-250000</v>
      </c>
    </row>
    <row r="236" spans="1:21" ht="90" x14ac:dyDescent="0.25">
      <c r="A236" s="93">
        <v>25</v>
      </c>
      <c r="B236" s="168">
        <v>400050</v>
      </c>
      <c r="C236" s="318" t="s">
        <v>610</v>
      </c>
      <c r="D236" s="331" t="s">
        <v>611</v>
      </c>
      <c r="E236" s="372">
        <v>38</v>
      </c>
      <c r="F236" s="131" t="s">
        <v>500</v>
      </c>
      <c r="G236" s="40" t="s">
        <v>137</v>
      </c>
      <c r="H236" s="334">
        <v>376000</v>
      </c>
      <c r="I236" s="155">
        <f t="shared" si="23"/>
        <v>226000</v>
      </c>
      <c r="J236" s="131">
        <v>150000</v>
      </c>
      <c r="K236" s="250">
        <v>0</v>
      </c>
      <c r="L236" s="419">
        <v>200000</v>
      </c>
      <c r="M236" s="127">
        <f>H236-(J236+K236)</f>
        <v>226000</v>
      </c>
      <c r="N236" s="127">
        <v>0</v>
      </c>
    </row>
    <row r="237" spans="1:21" ht="63.75" x14ac:dyDescent="0.25">
      <c r="A237" s="167"/>
      <c r="B237" s="79">
        <v>1617400053</v>
      </c>
      <c r="C237" s="65" t="s">
        <v>702</v>
      </c>
      <c r="D237" s="79" t="s">
        <v>703</v>
      </c>
      <c r="E237" s="167">
        <v>38</v>
      </c>
      <c r="F237" s="127" t="s">
        <v>500</v>
      </c>
      <c r="G237" s="79" t="s">
        <v>137</v>
      </c>
      <c r="H237" s="79">
        <v>464200</v>
      </c>
      <c r="I237" s="155">
        <f t="shared" si="23"/>
        <v>464200</v>
      </c>
      <c r="J237" s="127">
        <v>0</v>
      </c>
      <c r="K237" s="250">
        <v>100000</v>
      </c>
      <c r="L237" s="428">
        <f>100000+100000+99200</f>
        <v>299200</v>
      </c>
      <c r="M237" s="127">
        <f>H237-(J237+K237)</f>
        <v>364200</v>
      </c>
      <c r="N237" s="127">
        <v>0</v>
      </c>
    </row>
    <row r="238" spans="1:21" ht="63.75" x14ac:dyDescent="0.25">
      <c r="A238" s="294"/>
      <c r="B238" s="141">
        <v>1617400044</v>
      </c>
      <c r="C238" s="136" t="s">
        <v>397</v>
      </c>
      <c r="D238" s="141" t="s">
        <v>695</v>
      </c>
      <c r="E238" s="294">
        <v>38</v>
      </c>
      <c r="F238" s="136" t="s">
        <v>17</v>
      </c>
      <c r="G238" s="141" t="s">
        <v>137</v>
      </c>
      <c r="H238" s="141">
        <v>150523</v>
      </c>
      <c r="I238" s="345">
        <f t="shared" si="23"/>
        <v>150523</v>
      </c>
      <c r="J238" s="136">
        <v>0</v>
      </c>
      <c r="K238" s="136">
        <v>0</v>
      </c>
      <c r="L238" s="301">
        <f>50000+98525</f>
        <v>148525</v>
      </c>
      <c r="M238" s="275">
        <f>I238-L238</f>
        <v>1998</v>
      </c>
      <c r="N238" s="136">
        <v>0</v>
      </c>
      <c r="R238" s="62"/>
      <c r="S238" s="62"/>
      <c r="T238" s="62"/>
      <c r="U238" s="62"/>
    </row>
    <row r="239" spans="1:21" ht="105" x14ac:dyDescent="0.25">
      <c r="A239" s="167">
        <v>29</v>
      </c>
      <c r="B239" s="79">
        <v>1617300020</v>
      </c>
      <c r="C239" s="67" t="s">
        <v>462</v>
      </c>
      <c r="D239" s="79" t="s">
        <v>463</v>
      </c>
      <c r="E239" s="369">
        <v>39</v>
      </c>
      <c r="F239" s="127" t="s">
        <v>20</v>
      </c>
      <c r="G239" s="197" t="s">
        <v>456</v>
      </c>
      <c r="H239" s="58">
        <v>275000</v>
      </c>
      <c r="I239" s="131">
        <f t="shared" si="23"/>
        <v>275000</v>
      </c>
      <c r="J239" s="127">
        <v>0</v>
      </c>
      <c r="K239" s="250">
        <v>275000</v>
      </c>
      <c r="L239" s="178">
        <f>275000</f>
        <v>275000</v>
      </c>
      <c r="M239" s="127">
        <f t="shared" ref="M239:M244" si="25">H239-(J239+K239)</f>
        <v>0</v>
      </c>
      <c r="N239" s="127">
        <v>0</v>
      </c>
      <c r="O239" s="46"/>
    </row>
    <row r="240" spans="1:21" ht="105" x14ac:dyDescent="0.25">
      <c r="A240" s="72"/>
      <c r="B240" s="167">
        <v>400047</v>
      </c>
      <c r="C240" s="176" t="s">
        <v>606</v>
      </c>
      <c r="D240" s="106" t="s">
        <v>608</v>
      </c>
      <c r="E240" s="168">
        <v>39</v>
      </c>
      <c r="F240" s="127" t="s">
        <v>112</v>
      </c>
      <c r="G240" s="40" t="s">
        <v>609</v>
      </c>
      <c r="H240" s="102">
        <v>221000</v>
      </c>
      <c r="I240" s="155">
        <f t="shared" si="23"/>
        <v>101000</v>
      </c>
      <c r="J240" s="105">
        <v>120000</v>
      </c>
      <c r="K240" s="105">
        <v>100000</v>
      </c>
      <c r="L240" s="230">
        <v>100000</v>
      </c>
      <c r="M240" s="127">
        <f t="shared" si="25"/>
        <v>1000</v>
      </c>
      <c r="N240" s="127">
        <v>0</v>
      </c>
    </row>
    <row r="241" spans="1:14" ht="105" x14ac:dyDescent="0.25">
      <c r="A241" s="93">
        <v>39</v>
      </c>
      <c r="B241" s="40">
        <v>1617400021</v>
      </c>
      <c r="C241" s="131" t="s">
        <v>675</v>
      </c>
      <c r="D241" s="176" t="s">
        <v>676</v>
      </c>
      <c r="E241" s="167">
        <v>39</v>
      </c>
      <c r="F241" s="131" t="s">
        <v>112</v>
      </c>
      <c r="G241" s="40" t="s">
        <v>456</v>
      </c>
      <c r="H241" s="131">
        <v>400000</v>
      </c>
      <c r="I241" s="155">
        <f t="shared" si="23"/>
        <v>400000</v>
      </c>
      <c r="J241" s="131">
        <v>0</v>
      </c>
      <c r="K241" s="250">
        <v>400000</v>
      </c>
      <c r="L241" s="255">
        <f>200000+200000</f>
        <v>400000</v>
      </c>
      <c r="M241" s="127">
        <f t="shared" si="25"/>
        <v>0</v>
      </c>
      <c r="N241" s="127">
        <f>M241</f>
        <v>0</v>
      </c>
    </row>
    <row r="242" spans="1:14" ht="76.5" x14ac:dyDescent="0.25">
      <c r="A242" s="93"/>
      <c r="B242" s="52">
        <v>1617400042</v>
      </c>
      <c r="C242" s="131" t="s">
        <v>397</v>
      </c>
      <c r="D242" s="52" t="s">
        <v>694</v>
      </c>
      <c r="E242" s="93">
        <v>39</v>
      </c>
      <c r="F242" s="127" t="s">
        <v>112</v>
      </c>
      <c r="G242" s="79" t="s">
        <v>456</v>
      </c>
      <c r="H242" s="52">
        <v>500000</v>
      </c>
      <c r="I242" s="155">
        <f t="shared" si="23"/>
        <v>500000</v>
      </c>
      <c r="J242" s="131">
        <v>0</v>
      </c>
      <c r="K242" s="131">
        <v>495000</v>
      </c>
      <c r="L242" s="178">
        <v>495000</v>
      </c>
      <c r="M242" s="127">
        <f t="shared" si="25"/>
        <v>5000</v>
      </c>
      <c r="N242" s="127">
        <v>0</v>
      </c>
    </row>
    <row r="243" spans="1:14" ht="76.5" x14ac:dyDescent="0.25">
      <c r="A243" s="93"/>
      <c r="B243" s="88">
        <v>400067</v>
      </c>
      <c r="C243" s="47"/>
      <c r="D243" s="263" t="s">
        <v>636</v>
      </c>
      <c r="E243" s="373">
        <v>39</v>
      </c>
      <c r="F243" s="131" t="s">
        <v>495</v>
      </c>
      <c r="G243" s="52" t="s">
        <v>456</v>
      </c>
      <c r="H243" s="88">
        <v>24150</v>
      </c>
      <c r="I243" s="155">
        <f t="shared" si="23"/>
        <v>24150</v>
      </c>
      <c r="J243" s="131">
        <v>0</v>
      </c>
      <c r="K243" s="265">
        <v>24150</v>
      </c>
      <c r="L243" s="336">
        <v>24150</v>
      </c>
      <c r="M243" s="127">
        <f t="shared" si="25"/>
        <v>0</v>
      </c>
      <c r="N243" s="127">
        <f>M243</f>
        <v>0</v>
      </c>
    </row>
    <row r="244" spans="1:14" ht="105" x14ac:dyDescent="0.25">
      <c r="A244" s="93">
        <v>9</v>
      </c>
      <c r="B244" s="88">
        <v>400068</v>
      </c>
      <c r="C244" s="197"/>
      <c r="D244" s="280" t="s">
        <v>637</v>
      </c>
      <c r="E244" s="374">
        <v>39</v>
      </c>
      <c r="F244" s="131" t="s">
        <v>495</v>
      </c>
      <c r="G244" s="40" t="s">
        <v>456</v>
      </c>
      <c r="H244" s="88">
        <v>92138</v>
      </c>
      <c r="I244" s="155">
        <f t="shared" si="23"/>
        <v>92138</v>
      </c>
      <c r="J244" s="131">
        <v>0</v>
      </c>
      <c r="K244" s="250">
        <v>92138</v>
      </c>
      <c r="L244" s="255">
        <v>92138</v>
      </c>
      <c r="M244" s="127">
        <f t="shared" si="25"/>
        <v>0</v>
      </c>
      <c r="N244" s="127">
        <f>M244</f>
        <v>0</v>
      </c>
    </row>
    <row r="245" spans="1:14" ht="105" x14ac:dyDescent="0.25">
      <c r="A245" s="93">
        <v>31</v>
      </c>
      <c r="B245" s="40">
        <v>1617400026</v>
      </c>
      <c r="C245" s="40" t="s">
        <v>69</v>
      </c>
      <c r="D245" s="197" t="s">
        <v>679</v>
      </c>
      <c r="E245" s="365">
        <v>39</v>
      </c>
      <c r="F245" s="127" t="s">
        <v>495</v>
      </c>
      <c r="G245" s="40" t="s">
        <v>456</v>
      </c>
      <c r="H245" s="40">
        <v>92000</v>
      </c>
      <c r="I245" s="155">
        <f t="shared" si="23"/>
        <v>92000</v>
      </c>
      <c r="J245" s="127">
        <v>0</v>
      </c>
      <c r="K245" s="250">
        <v>89370</v>
      </c>
      <c r="L245" s="255">
        <v>89370</v>
      </c>
      <c r="M245" s="127">
        <v>0</v>
      </c>
      <c r="N245" s="127">
        <f>M245</f>
        <v>0</v>
      </c>
    </row>
    <row r="246" spans="1:14" ht="76.5" x14ac:dyDescent="0.25">
      <c r="A246" s="93">
        <v>19</v>
      </c>
      <c r="B246" s="286" t="s">
        <v>737</v>
      </c>
      <c r="C246" s="222" t="s">
        <v>471</v>
      </c>
      <c r="D246" s="52" t="s">
        <v>738</v>
      </c>
      <c r="E246" s="93">
        <v>39</v>
      </c>
      <c r="F246" s="285" t="s">
        <v>495</v>
      </c>
      <c r="G246" s="52" t="s">
        <v>456</v>
      </c>
      <c r="H246" s="289">
        <v>35200</v>
      </c>
      <c r="I246" s="155">
        <f t="shared" si="23"/>
        <v>35200</v>
      </c>
      <c r="J246" s="289">
        <v>0</v>
      </c>
      <c r="K246" s="158">
        <v>35000</v>
      </c>
      <c r="L246" s="290">
        <v>35000</v>
      </c>
      <c r="M246" s="127">
        <v>0</v>
      </c>
      <c r="N246" s="127">
        <f>M246</f>
        <v>0</v>
      </c>
    </row>
    <row r="247" spans="1:14" ht="105" x14ac:dyDescent="0.25">
      <c r="A247" s="93">
        <v>8</v>
      </c>
      <c r="B247" s="88">
        <v>400067</v>
      </c>
      <c r="C247" s="279" t="s">
        <v>634</v>
      </c>
      <c r="D247" s="280" t="s">
        <v>635</v>
      </c>
      <c r="E247" s="374">
        <v>39</v>
      </c>
      <c r="F247" s="131" t="s">
        <v>500</v>
      </c>
      <c r="G247" s="40" t="s">
        <v>456</v>
      </c>
      <c r="H247" s="88">
        <v>2248000</v>
      </c>
      <c r="I247" s="155">
        <f t="shared" si="23"/>
        <v>2248000</v>
      </c>
      <c r="J247" s="131">
        <v>0</v>
      </c>
      <c r="K247" s="250">
        <f>211040+211040+130511+130211</f>
        <v>682802</v>
      </c>
      <c r="L247" s="255">
        <f>211040+211040+130511+130211</f>
        <v>682802</v>
      </c>
      <c r="M247" s="127">
        <f t="shared" ref="M247:M252" si="26">H247-(J247+K247)</f>
        <v>1565198</v>
      </c>
      <c r="N247" s="127">
        <v>0</v>
      </c>
    </row>
    <row r="248" spans="1:14" ht="105" x14ac:dyDescent="0.25">
      <c r="A248" s="93">
        <v>10</v>
      </c>
      <c r="B248" s="88">
        <v>400069</v>
      </c>
      <c r="C248" s="279" t="s">
        <v>638</v>
      </c>
      <c r="D248" s="279" t="s">
        <v>639</v>
      </c>
      <c r="E248" s="375">
        <v>39</v>
      </c>
      <c r="F248" s="131" t="s">
        <v>500</v>
      </c>
      <c r="G248" s="40" t="s">
        <v>456</v>
      </c>
      <c r="H248" s="88">
        <v>300000</v>
      </c>
      <c r="I248" s="155">
        <f t="shared" si="23"/>
        <v>300000</v>
      </c>
      <c r="J248" s="131">
        <v>0</v>
      </c>
      <c r="K248" s="250">
        <f>52500</f>
        <v>52500</v>
      </c>
      <c r="L248" s="255">
        <f>52500</f>
        <v>52500</v>
      </c>
      <c r="M248" s="127">
        <f t="shared" si="26"/>
        <v>247500</v>
      </c>
      <c r="N248" s="127">
        <v>0</v>
      </c>
    </row>
    <row r="249" spans="1:14" ht="105" x14ac:dyDescent="0.25">
      <c r="A249" s="93">
        <v>21</v>
      </c>
      <c r="B249" s="88">
        <v>400086</v>
      </c>
      <c r="C249" s="131" t="s">
        <v>657</v>
      </c>
      <c r="D249" s="197" t="s">
        <v>658</v>
      </c>
      <c r="E249" s="365">
        <v>39</v>
      </c>
      <c r="F249" s="131" t="s">
        <v>500</v>
      </c>
      <c r="G249" s="40" t="s">
        <v>456</v>
      </c>
      <c r="H249" s="333">
        <v>1800000</v>
      </c>
      <c r="I249" s="155">
        <f t="shared" si="23"/>
        <v>1800000</v>
      </c>
      <c r="J249" s="131">
        <v>0</v>
      </c>
      <c r="K249" s="250">
        <f>115500+110000</f>
        <v>225500</v>
      </c>
      <c r="L249" s="255">
        <f>115500+110000+147720</f>
        <v>373220</v>
      </c>
      <c r="M249" s="127">
        <f t="shared" si="26"/>
        <v>1574500</v>
      </c>
      <c r="N249" s="127">
        <v>0</v>
      </c>
    </row>
    <row r="250" spans="1:14" ht="105" x14ac:dyDescent="0.25">
      <c r="A250" s="93">
        <v>35</v>
      </c>
      <c r="B250" s="40">
        <v>1617400006</v>
      </c>
      <c r="C250" s="40" t="s">
        <v>662</v>
      </c>
      <c r="D250" s="197" t="s">
        <v>663</v>
      </c>
      <c r="E250" s="365">
        <v>39</v>
      </c>
      <c r="F250" s="131" t="s">
        <v>500</v>
      </c>
      <c r="G250" s="40" t="s">
        <v>456</v>
      </c>
      <c r="H250" s="40">
        <v>920000</v>
      </c>
      <c r="I250" s="155">
        <f t="shared" ref="I250:I270" si="27">H250-J250</f>
        <v>920000</v>
      </c>
      <c r="J250" s="131">
        <v>0</v>
      </c>
      <c r="K250" s="250">
        <v>300000</v>
      </c>
      <c r="L250" s="255">
        <v>300000</v>
      </c>
      <c r="M250" s="127">
        <f t="shared" si="26"/>
        <v>620000</v>
      </c>
      <c r="N250" s="127">
        <v>0</v>
      </c>
    </row>
    <row r="251" spans="1:14" ht="24" x14ac:dyDescent="0.2">
      <c r="A251" s="93"/>
      <c r="B251" s="310">
        <v>4500017091</v>
      </c>
      <c r="C251" s="330" t="s">
        <v>735</v>
      </c>
      <c r="D251" s="330" t="s">
        <v>736</v>
      </c>
      <c r="E251" s="371">
        <v>39</v>
      </c>
      <c r="F251" s="127"/>
      <c r="G251" s="131" t="s">
        <v>609</v>
      </c>
      <c r="H251" s="52">
        <v>194940</v>
      </c>
      <c r="I251" s="155">
        <f t="shared" si="27"/>
        <v>194940</v>
      </c>
      <c r="J251" s="131">
        <v>0</v>
      </c>
      <c r="K251" s="131"/>
      <c r="L251" s="335">
        <v>206636.4</v>
      </c>
      <c r="M251" s="127">
        <f t="shared" si="26"/>
        <v>194940</v>
      </c>
      <c r="N251" s="337">
        <v>0</v>
      </c>
    </row>
    <row r="252" spans="1:14" ht="63.75" x14ac:dyDescent="0.25">
      <c r="A252" s="93"/>
      <c r="B252" s="30">
        <v>400002</v>
      </c>
      <c r="C252" s="280" t="s">
        <v>601</v>
      </c>
      <c r="D252" s="280" t="s">
        <v>602</v>
      </c>
      <c r="E252" s="374">
        <v>39</v>
      </c>
      <c r="F252" s="131" t="s">
        <v>500</v>
      </c>
      <c r="G252" s="52" t="s">
        <v>137</v>
      </c>
      <c r="H252" s="88">
        <v>265000</v>
      </c>
      <c r="I252" s="155">
        <f t="shared" si="27"/>
        <v>180000</v>
      </c>
      <c r="J252" s="131">
        <v>85000</v>
      </c>
      <c r="K252" s="265">
        <v>85000</v>
      </c>
      <c r="L252" s="336">
        <v>85000</v>
      </c>
      <c r="M252" s="127">
        <f t="shared" si="26"/>
        <v>95000</v>
      </c>
      <c r="N252" s="127">
        <f>M252</f>
        <v>95000</v>
      </c>
    </row>
    <row r="253" spans="1:14" ht="38.25" x14ac:dyDescent="0.25">
      <c r="A253" s="93"/>
      <c r="B253" s="88">
        <v>400027</v>
      </c>
      <c r="C253" s="280"/>
      <c r="D253" s="280" t="s">
        <v>603</v>
      </c>
      <c r="E253" s="374">
        <v>40</v>
      </c>
      <c r="F253" s="131" t="s">
        <v>495</v>
      </c>
      <c r="G253" s="52" t="s">
        <v>18</v>
      </c>
      <c r="H253" s="88">
        <v>146362</v>
      </c>
      <c r="I253" s="155">
        <f t="shared" si="27"/>
        <v>146362</v>
      </c>
      <c r="J253" s="131">
        <v>0</v>
      </c>
      <c r="K253" s="265"/>
      <c r="L253" s="336">
        <f>82159+23100+41103</f>
        <v>146362</v>
      </c>
      <c r="M253" s="127">
        <v>0</v>
      </c>
      <c r="N253" s="127">
        <v>0</v>
      </c>
    </row>
    <row r="254" spans="1:14" ht="75" x14ac:dyDescent="0.25">
      <c r="A254" s="93">
        <v>5</v>
      </c>
      <c r="B254" s="88">
        <v>400062</v>
      </c>
      <c r="C254" s="47" t="s">
        <v>628</v>
      </c>
      <c r="D254" s="280" t="s">
        <v>629</v>
      </c>
      <c r="E254" s="374">
        <v>40</v>
      </c>
      <c r="F254" s="131" t="s">
        <v>495</v>
      </c>
      <c r="G254" s="52" t="s">
        <v>18</v>
      </c>
      <c r="H254" s="88">
        <v>74128</v>
      </c>
      <c r="I254" s="155">
        <f t="shared" si="27"/>
        <v>74128</v>
      </c>
      <c r="J254" s="131">
        <v>0</v>
      </c>
      <c r="K254" s="250">
        <v>74128</v>
      </c>
      <c r="L254" s="255">
        <v>74128</v>
      </c>
      <c r="M254" s="127">
        <f>H254-(J254+K254)</f>
        <v>0</v>
      </c>
      <c r="N254" s="127">
        <f t="shared" ref="N254:N259" si="28">M254</f>
        <v>0</v>
      </c>
    </row>
    <row r="255" spans="1:14" ht="60" x14ac:dyDescent="0.25">
      <c r="A255" s="93">
        <v>13</v>
      </c>
      <c r="B255" s="88">
        <v>400075</v>
      </c>
      <c r="C255" s="47" t="s">
        <v>644</v>
      </c>
      <c r="D255" s="60" t="s">
        <v>645</v>
      </c>
      <c r="E255" s="376">
        <v>40</v>
      </c>
      <c r="F255" s="131" t="s">
        <v>495</v>
      </c>
      <c r="G255" s="40" t="s">
        <v>18</v>
      </c>
      <c r="H255" s="88">
        <v>100000</v>
      </c>
      <c r="I255" s="155">
        <f t="shared" si="27"/>
        <v>100000</v>
      </c>
      <c r="J255" s="131">
        <v>0</v>
      </c>
      <c r="K255" s="250">
        <v>100000</v>
      </c>
      <c r="L255" s="255">
        <v>100000</v>
      </c>
      <c r="M255" s="127">
        <f>H255-(J255+K255)</f>
        <v>0</v>
      </c>
      <c r="N255" s="127">
        <f t="shared" si="28"/>
        <v>0</v>
      </c>
    </row>
    <row r="256" spans="1:14" ht="60" x14ac:dyDescent="0.25">
      <c r="A256" s="93">
        <v>38</v>
      </c>
      <c r="B256" s="40">
        <v>1617400009</v>
      </c>
      <c r="C256" s="131" t="s">
        <v>664</v>
      </c>
      <c r="D256" s="176" t="s">
        <v>665</v>
      </c>
      <c r="E256" s="167">
        <v>40</v>
      </c>
      <c r="F256" s="131" t="s">
        <v>495</v>
      </c>
      <c r="G256" s="40" t="s">
        <v>18</v>
      </c>
      <c r="H256" s="131">
        <v>85000</v>
      </c>
      <c r="I256" s="155">
        <f t="shared" si="27"/>
        <v>85000</v>
      </c>
      <c r="J256" s="131">
        <v>0</v>
      </c>
      <c r="K256" s="250">
        <v>85000</v>
      </c>
      <c r="L256" s="255">
        <v>85000</v>
      </c>
      <c r="M256" s="127">
        <f>H256-(J256+K256)</f>
        <v>0</v>
      </c>
      <c r="N256" s="127">
        <f t="shared" si="28"/>
        <v>0</v>
      </c>
    </row>
    <row r="257" spans="1:14" ht="76.5" x14ac:dyDescent="0.25">
      <c r="A257" s="93"/>
      <c r="B257" s="88">
        <v>1617400010</v>
      </c>
      <c r="C257" s="47" t="s">
        <v>646</v>
      </c>
      <c r="D257" s="263" t="s">
        <v>666</v>
      </c>
      <c r="E257" s="373">
        <v>40</v>
      </c>
      <c r="F257" s="131" t="s">
        <v>495</v>
      </c>
      <c r="G257" s="40" t="s">
        <v>18</v>
      </c>
      <c r="H257" s="88">
        <v>445000</v>
      </c>
      <c r="I257" s="155">
        <f t="shared" si="27"/>
        <v>445000</v>
      </c>
      <c r="J257" s="131">
        <v>0</v>
      </c>
      <c r="K257" s="250">
        <v>443900</v>
      </c>
      <c r="L257" s="255">
        <v>443900</v>
      </c>
      <c r="M257" s="127">
        <v>0</v>
      </c>
      <c r="N257" s="127">
        <f t="shared" si="28"/>
        <v>0</v>
      </c>
    </row>
    <row r="258" spans="1:14" ht="60" x14ac:dyDescent="0.25">
      <c r="A258" s="93">
        <v>27</v>
      </c>
      <c r="B258" s="40">
        <v>1617400017</v>
      </c>
      <c r="C258" s="40" t="s">
        <v>671</v>
      </c>
      <c r="D258" s="197" t="s">
        <v>672</v>
      </c>
      <c r="E258" s="365">
        <v>40</v>
      </c>
      <c r="F258" s="127" t="s">
        <v>495</v>
      </c>
      <c r="G258" s="40" t="s">
        <v>18</v>
      </c>
      <c r="H258" s="40">
        <v>40000</v>
      </c>
      <c r="I258" s="155">
        <f t="shared" si="27"/>
        <v>40000</v>
      </c>
      <c r="J258" s="127">
        <v>0</v>
      </c>
      <c r="K258" s="250">
        <v>40000</v>
      </c>
      <c r="L258" s="255">
        <v>40000</v>
      </c>
      <c r="M258" s="127">
        <f t="shared" ref="M258:M265" si="29">H258-(J258+K258)</f>
        <v>0</v>
      </c>
      <c r="N258" s="127">
        <f t="shared" si="28"/>
        <v>0</v>
      </c>
    </row>
    <row r="259" spans="1:14" ht="60" x14ac:dyDescent="0.25">
      <c r="A259" s="93">
        <v>41</v>
      </c>
      <c r="B259" s="40">
        <v>1617400041</v>
      </c>
      <c r="C259" s="40" t="s">
        <v>692</v>
      </c>
      <c r="D259" s="40" t="s">
        <v>693</v>
      </c>
      <c r="E259" s="342">
        <v>40</v>
      </c>
      <c r="F259" s="131" t="s">
        <v>495</v>
      </c>
      <c r="G259" s="40" t="s">
        <v>18</v>
      </c>
      <c r="H259" s="131">
        <v>17500</v>
      </c>
      <c r="I259" s="155">
        <f t="shared" si="27"/>
        <v>17500</v>
      </c>
      <c r="J259" s="131">
        <v>0</v>
      </c>
      <c r="K259" s="250">
        <v>17500</v>
      </c>
      <c r="L259" s="255">
        <v>17500</v>
      </c>
      <c r="M259" s="127">
        <f t="shared" si="29"/>
        <v>0</v>
      </c>
      <c r="N259" s="127">
        <f t="shared" si="28"/>
        <v>0</v>
      </c>
    </row>
    <row r="260" spans="1:14" ht="63.75" x14ac:dyDescent="0.25">
      <c r="A260" s="93">
        <v>14</v>
      </c>
      <c r="B260" s="88">
        <v>400076</v>
      </c>
      <c r="C260" s="47" t="s">
        <v>646</v>
      </c>
      <c r="D260" s="263" t="s">
        <v>647</v>
      </c>
      <c r="E260" s="373">
        <v>40</v>
      </c>
      <c r="F260" s="131" t="s">
        <v>500</v>
      </c>
      <c r="G260" s="40" t="s">
        <v>18</v>
      </c>
      <c r="H260" s="327">
        <v>725000</v>
      </c>
      <c r="I260" s="155">
        <f t="shared" si="27"/>
        <v>725000</v>
      </c>
      <c r="J260" s="131">
        <v>0</v>
      </c>
      <c r="K260" s="250">
        <f>706800</f>
        <v>706800</v>
      </c>
      <c r="L260" s="255">
        <f>706800</f>
        <v>706800</v>
      </c>
      <c r="M260" s="127">
        <f t="shared" si="29"/>
        <v>18200</v>
      </c>
      <c r="N260" s="127">
        <v>0</v>
      </c>
    </row>
    <row r="261" spans="1:14" ht="60" x14ac:dyDescent="0.25">
      <c r="A261" s="93">
        <v>15</v>
      </c>
      <c r="B261" s="328">
        <v>400077</v>
      </c>
      <c r="C261" s="47" t="s">
        <v>648</v>
      </c>
      <c r="D261" s="263" t="s">
        <v>649</v>
      </c>
      <c r="E261" s="373">
        <v>40</v>
      </c>
      <c r="F261" s="131" t="s">
        <v>500</v>
      </c>
      <c r="G261" s="40" t="s">
        <v>18</v>
      </c>
      <c r="H261" s="88">
        <v>2000000</v>
      </c>
      <c r="I261" s="155">
        <f t="shared" si="27"/>
        <v>2000000</v>
      </c>
      <c r="J261" s="131">
        <v>0</v>
      </c>
      <c r="K261" s="250">
        <f>305807+215800+195040</f>
        <v>716647</v>
      </c>
      <c r="L261" s="255">
        <f>305807+215800+195040</f>
        <v>716647</v>
      </c>
      <c r="M261" s="127">
        <f t="shared" si="29"/>
        <v>1283353</v>
      </c>
      <c r="N261" s="127">
        <v>0</v>
      </c>
    </row>
    <row r="262" spans="1:14" ht="105" x14ac:dyDescent="0.25">
      <c r="A262" s="93"/>
      <c r="B262" s="88">
        <v>400029</v>
      </c>
      <c r="C262" s="47" t="s">
        <v>604</v>
      </c>
      <c r="D262" s="263" t="s">
        <v>605</v>
      </c>
      <c r="E262" s="373">
        <v>41</v>
      </c>
      <c r="F262" s="131" t="s">
        <v>495</v>
      </c>
      <c r="G262" s="40" t="s">
        <v>456</v>
      </c>
      <c r="H262" s="88">
        <v>56200</v>
      </c>
      <c r="I262" s="155">
        <f t="shared" si="27"/>
        <v>56200</v>
      </c>
      <c r="J262" s="131">
        <v>0</v>
      </c>
      <c r="K262" s="265">
        <v>56200</v>
      </c>
      <c r="L262" s="336">
        <v>56200</v>
      </c>
      <c r="M262" s="127">
        <f t="shared" si="29"/>
        <v>0</v>
      </c>
      <c r="N262" s="127">
        <f>M262</f>
        <v>0</v>
      </c>
    </row>
    <row r="263" spans="1:14" ht="105" x14ac:dyDescent="0.25">
      <c r="A263" s="93">
        <v>33</v>
      </c>
      <c r="B263" s="40">
        <v>1617400002</v>
      </c>
      <c r="C263" s="40" t="s">
        <v>659</v>
      </c>
      <c r="D263" s="65" t="s">
        <v>660</v>
      </c>
      <c r="E263" s="355">
        <v>41</v>
      </c>
      <c r="F263" s="105" t="s">
        <v>495</v>
      </c>
      <c r="G263" s="40" t="s">
        <v>456</v>
      </c>
      <c r="H263" s="40">
        <v>100000</v>
      </c>
      <c r="I263" s="155">
        <f t="shared" si="27"/>
        <v>100000</v>
      </c>
      <c r="J263" s="102">
        <v>0</v>
      </c>
      <c r="K263" s="105">
        <f>50000+50000</f>
        <v>100000</v>
      </c>
      <c r="L263" s="230">
        <f>50000+50000</f>
        <v>100000</v>
      </c>
      <c r="M263" s="127">
        <f t="shared" si="29"/>
        <v>0</v>
      </c>
      <c r="N263" s="127">
        <f>M263</f>
        <v>0</v>
      </c>
    </row>
    <row r="264" spans="1:14" ht="60" x14ac:dyDescent="0.25">
      <c r="A264" s="93"/>
      <c r="B264" s="126">
        <v>400055</v>
      </c>
      <c r="C264" s="47" t="s">
        <v>615</v>
      </c>
      <c r="D264" s="263" t="s">
        <v>616</v>
      </c>
      <c r="E264" s="373">
        <v>42</v>
      </c>
      <c r="F264" s="131" t="s">
        <v>495</v>
      </c>
      <c r="G264" s="40" t="s">
        <v>614</v>
      </c>
      <c r="H264" s="88">
        <v>5700</v>
      </c>
      <c r="I264" s="155">
        <f t="shared" si="27"/>
        <v>5700</v>
      </c>
      <c r="J264" s="131">
        <v>0</v>
      </c>
      <c r="K264" s="265">
        <v>5700</v>
      </c>
      <c r="L264" s="336">
        <v>5700</v>
      </c>
      <c r="M264" s="127">
        <f t="shared" si="29"/>
        <v>0</v>
      </c>
      <c r="N264" s="127">
        <f>M264</f>
        <v>0</v>
      </c>
    </row>
    <row r="265" spans="1:14" ht="60" x14ac:dyDescent="0.25">
      <c r="A265" s="93"/>
      <c r="B265" s="126">
        <v>400055</v>
      </c>
      <c r="C265" s="160"/>
      <c r="D265" s="263" t="s">
        <v>619</v>
      </c>
      <c r="E265" s="373">
        <v>42</v>
      </c>
      <c r="F265" s="131" t="s">
        <v>495</v>
      </c>
      <c r="G265" s="40" t="s">
        <v>614</v>
      </c>
      <c r="H265" s="88">
        <v>18897</v>
      </c>
      <c r="I265" s="155">
        <f t="shared" si="27"/>
        <v>18897</v>
      </c>
      <c r="J265" s="131">
        <v>0</v>
      </c>
      <c r="K265" s="265">
        <v>18897</v>
      </c>
      <c r="L265" s="336">
        <v>18897</v>
      </c>
      <c r="M265" s="127">
        <f t="shared" si="29"/>
        <v>0</v>
      </c>
      <c r="N265" s="127">
        <f>M265</f>
        <v>0</v>
      </c>
    </row>
    <row r="266" spans="1:14" ht="38.25" x14ac:dyDescent="0.25">
      <c r="A266" s="93"/>
      <c r="B266" s="88">
        <v>400055</v>
      </c>
      <c r="C266" s="47" t="s">
        <v>612</v>
      </c>
      <c r="D266" s="263" t="s">
        <v>613</v>
      </c>
      <c r="E266" s="373">
        <v>42</v>
      </c>
      <c r="F266" s="131" t="s">
        <v>500</v>
      </c>
      <c r="G266" s="52" t="s">
        <v>614</v>
      </c>
      <c r="H266" s="88">
        <v>295000</v>
      </c>
      <c r="I266" s="155">
        <f t="shared" si="27"/>
        <v>295000</v>
      </c>
      <c r="J266" s="131">
        <v>0</v>
      </c>
      <c r="K266" s="265">
        <v>100000</v>
      </c>
      <c r="L266" s="336">
        <v>100000</v>
      </c>
      <c r="M266" s="127">
        <v>0</v>
      </c>
      <c r="N266" s="127">
        <v>0</v>
      </c>
    </row>
    <row r="267" spans="1:14" ht="75" x14ac:dyDescent="0.25">
      <c r="A267" s="93">
        <v>11</v>
      </c>
      <c r="B267" s="88">
        <v>400073</v>
      </c>
      <c r="C267" s="222" t="s">
        <v>640</v>
      </c>
      <c r="D267" s="47" t="s">
        <v>641</v>
      </c>
      <c r="E267" s="377">
        <v>42</v>
      </c>
      <c r="F267" s="131" t="s">
        <v>500</v>
      </c>
      <c r="G267" s="40" t="s">
        <v>614</v>
      </c>
      <c r="H267" s="88">
        <v>1014000</v>
      </c>
      <c r="I267" s="155">
        <f t="shared" si="27"/>
        <v>1014000</v>
      </c>
      <c r="J267" s="131">
        <v>0</v>
      </c>
      <c r="K267" s="250">
        <v>300000</v>
      </c>
      <c r="L267" s="419">
        <f>300000+500000</f>
        <v>800000</v>
      </c>
      <c r="M267" s="127">
        <f>H267-(J267+K267)</f>
        <v>714000</v>
      </c>
      <c r="N267" s="127">
        <f>M267</f>
        <v>714000</v>
      </c>
    </row>
    <row r="268" spans="1:14" ht="60" x14ac:dyDescent="0.25">
      <c r="A268" s="93">
        <v>1</v>
      </c>
      <c r="B268" s="88">
        <v>400058</v>
      </c>
      <c r="C268" s="47" t="s">
        <v>620</v>
      </c>
      <c r="D268" s="60" t="s">
        <v>621</v>
      </c>
      <c r="E268" s="376">
        <v>43</v>
      </c>
      <c r="F268" s="131" t="s">
        <v>495</v>
      </c>
      <c r="G268" s="40" t="s">
        <v>614</v>
      </c>
      <c r="H268" s="88">
        <v>81800</v>
      </c>
      <c r="I268" s="155">
        <f t="shared" si="27"/>
        <v>81800</v>
      </c>
      <c r="J268" s="131">
        <v>0</v>
      </c>
      <c r="K268" s="250">
        <v>81800</v>
      </c>
      <c r="L268" s="255">
        <v>81800</v>
      </c>
      <c r="M268" s="127">
        <f>H268-(J268+K268)</f>
        <v>0</v>
      </c>
      <c r="N268" s="127">
        <f>M268</f>
        <v>0</v>
      </c>
    </row>
    <row r="269" spans="1:14" ht="60" x14ac:dyDescent="0.25">
      <c r="A269" s="93">
        <v>20</v>
      </c>
      <c r="B269" s="88">
        <v>400084</v>
      </c>
      <c r="C269" s="131" t="s">
        <v>655</v>
      </c>
      <c r="D269" s="197" t="s">
        <v>656</v>
      </c>
      <c r="E269" s="365">
        <v>43</v>
      </c>
      <c r="F269" s="131" t="s">
        <v>495</v>
      </c>
      <c r="G269" s="40" t="s">
        <v>614</v>
      </c>
      <c r="H269" s="333">
        <v>15000</v>
      </c>
      <c r="I269" s="155">
        <f t="shared" si="27"/>
        <v>15000</v>
      </c>
      <c r="J269" s="131">
        <v>0</v>
      </c>
      <c r="K269" s="250">
        <v>15000</v>
      </c>
      <c r="L269" s="255">
        <v>15000</v>
      </c>
      <c r="M269" s="127">
        <f>H269-(J269+K269)</f>
        <v>0</v>
      </c>
      <c r="N269" s="127">
        <f>M269</f>
        <v>0</v>
      </c>
    </row>
    <row r="270" spans="1:14" ht="60" x14ac:dyDescent="0.25">
      <c r="A270" s="93">
        <v>18</v>
      </c>
      <c r="B270" s="88">
        <v>400080</v>
      </c>
      <c r="C270" s="47" t="s">
        <v>248</v>
      </c>
      <c r="D270" s="197" t="s">
        <v>652</v>
      </c>
      <c r="E270" s="365">
        <v>43</v>
      </c>
      <c r="F270" s="131" t="s">
        <v>500</v>
      </c>
      <c r="G270" s="40" t="s">
        <v>614</v>
      </c>
      <c r="H270" s="88">
        <v>6000000</v>
      </c>
      <c r="I270" s="155">
        <f t="shared" si="27"/>
        <v>6000000</v>
      </c>
      <c r="J270" s="131">
        <v>0</v>
      </c>
      <c r="K270" s="250">
        <f>2000000+2000000</f>
        <v>4000000</v>
      </c>
      <c r="L270" s="419">
        <f>2000000+2000000+1500000</f>
        <v>5500000</v>
      </c>
      <c r="M270" s="127">
        <f>H270-(J270+K270)</f>
        <v>2000000</v>
      </c>
      <c r="N270" s="127">
        <f>M270</f>
        <v>2000000</v>
      </c>
    </row>
    <row r="271" spans="1:14" ht="60" x14ac:dyDescent="0.25">
      <c r="A271" s="93"/>
      <c r="B271" s="88">
        <v>400028</v>
      </c>
      <c r="C271" s="47"/>
      <c r="D271" s="197" t="s">
        <v>912</v>
      </c>
      <c r="E271" s="365">
        <v>43</v>
      </c>
      <c r="F271" s="131" t="s">
        <v>112</v>
      </c>
      <c r="G271" s="40" t="s">
        <v>614</v>
      </c>
      <c r="H271" s="88"/>
      <c r="I271" s="155">
        <v>316817</v>
      </c>
      <c r="J271" s="131">
        <v>0</v>
      </c>
      <c r="K271" s="250"/>
      <c r="L271" s="418">
        <v>316817</v>
      </c>
      <c r="M271" s="127">
        <v>0</v>
      </c>
      <c r="N271" s="127"/>
    </row>
    <row r="272" spans="1:14" ht="76.5" x14ac:dyDescent="0.25">
      <c r="A272" s="93">
        <v>40</v>
      </c>
      <c r="B272" s="40">
        <v>1617400012</v>
      </c>
      <c r="C272" s="40" t="s">
        <v>667</v>
      </c>
      <c r="D272" s="176" t="s">
        <v>668</v>
      </c>
      <c r="E272" s="167">
        <v>43</v>
      </c>
      <c r="F272" s="131" t="s">
        <v>500</v>
      </c>
      <c r="G272" s="40" t="s">
        <v>614</v>
      </c>
      <c r="H272" s="131">
        <v>100000</v>
      </c>
      <c r="I272" s="155">
        <f>H272-J272</f>
        <v>100000</v>
      </c>
      <c r="J272" s="131">
        <v>0</v>
      </c>
      <c r="K272" s="250">
        <v>75000</v>
      </c>
      <c r="L272" s="255">
        <v>75000</v>
      </c>
      <c r="M272" s="127">
        <f>H272-(J272+K272)</f>
        <v>25000</v>
      </c>
      <c r="N272" s="127">
        <f>M272</f>
        <v>25000</v>
      </c>
    </row>
    <row r="273" spans="1:21" ht="63.75" x14ac:dyDescent="0.25">
      <c r="A273" s="93"/>
      <c r="B273" s="79">
        <v>1617400051</v>
      </c>
      <c r="C273" s="127" t="s">
        <v>700</v>
      </c>
      <c r="D273" s="79" t="s">
        <v>701</v>
      </c>
      <c r="E273" s="167">
        <v>44</v>
      </c>
      <c r="F273" s="127" t="s">
        <v>500</v>
      </c>
      <c r="G273" s="307" t="s">
        <v>741</v>
      </c>
      <c r="H273" s="79">
        <v>200000</v>
      </c>
      <c r="I273" s="155">
        <f>H273-J273</f>
        <v>200000</v>
      </c>
      <c r="J273" s="127">
        <v>0</v>
      </c>
      <c r="K273" s="250">
        <v>0</v>
      </c>
      <c r="L273" s="419">
        <f>50000+100000</f>
        <v>150000</v>
      </c>
      <c r="M273" s="250">
        <f>I273-L273</f>
        <v>50000</v>
      </c>
      <c r="N273" s="127">
        <f>M273/2</f>
        <v>25000</v>
      </c>
    </row>
    <row r="274" spans="1:21" ht="60" x14ac:dyDescent="0.25">
      <c r="A274" s="93"/>
      <c r="B274" s="126">
        <v>400055</v>
      </c>
      <c r="C274" s="47"/>
      <c r="D274" s="263" t="s">
        <v>617</v>
      </c>
      <c r="E274" s="373">
        <v>44</v>
      </c>
      <c r="F274" s="131" t="s">
        <v>495</v>
      </c>
      <c r="G274" s="40" t="s">
        <v>614</v>
      </c>
      <c r="H274" s="88">
        <v>16200</v>
      </c>
      <c r="I274" s="155">
        <f>H274-J274</f>
        <v>16200</v>
      </c>
      <c r="J274" s="131">
        <v>0</v>
      </c>
      <c r="K274" s="265">
        <v>16200</v>
      </c>
      <c r="L274" s="336">
        <v>16200</v>
      </c>
      <c r="M274" s="127">
        <f>H274-(J274+K274)</f>
        <v>0</v>
      </c>
      <c r="N274" s="127">
        <f>M274</f>
        <v>0</v>
      </c>
    </row>
    <row r="275" spans="1:21" ht="60" x14ac:dyDescent="0.25">
      <c r="A275" s="93"/>
      <c r="B275" s="126">
        <v>400055</v>
      </c>
      <c r="C275" s="47"/>
      <c r="D275" s="263" t="s">
        <v>618</v>
      </c>
      <c r="E275" s="373">
        <v>44</v>
      </c>
      <c r="F275" s="131" t="s">
        <v>495</v>
      </c>
      <c r="G275" s="40" t="s">
        <v>614</v>
      </c>
      <c r="H275" s="88">
        <v>68250</v>
      </c>
      <c r="I275" s="155">
        <f>H275-J275</f>
        <v>68250</v>
      </c>
      <c r="J275" s="131">
        <v>0</v>
      </c>
      <c r="K275" s="265">
        <v>68250</v>
      </c>
      <c r="L275" s="336">
        <v>68250</v>
      </c>
      <c r="M275" s="127">
        <f>H275-(J275+K275)</f>
        <v>0</v>
      </c>
      <c r="N275" s="127">
        <f>M275</f>
        <v>0</v>
      </c>
    </row>
    <row r="276" spans="1:21" ht="60" x14ac:dyDescent="0.25">
      <c r="A276" s="93">
        <v>26</v>
      </c>
      <c r="B276" s="40">
        <v>1617400016</v>
      </c>
      <c r="C276" s="40" t="s">
        <v>669</v>
      </c>
      <c r="D276" s="197" t="s">
        <v>670</v>
      </c>
      <c r="E276" s="365">
        <v>44</v>
      </c>
      <c r="F276" s="127" t="s">
        <v>500</v>
      </c>
      <c r="G276" s="40" t="s">
        <v>614</v>
      </c>
      <c r="H276" s="40">
        <v>450000</v>
      </c>
      <c r="I276" s="155">
        <f>H276-J276</f>
        <v>450000</v>
      </c>
      <c r="J276" s="127">
        <v>0</v>
      </c>
      <c r="K276" s="250">
        <v>75000</v>
      </c>
      <c r="L276" s="419">
        <f>75000+150000</f>
        <v>225000</v>
      </c>
      <c r="M276" s="250">
        <f>I276-L276</f>
        <v>225000</v>
      </c>
      <c r="N276" s="127">
        <v>75000</v>
      </c>
    </row>
    <row r="277" spans="1:21" ht="60" x14ac:dyDescent="0.25">
      <c r="A277" s="93"/>
      <c r="B277" s="40">
        <v>1617400097</v>
      </c>
      <c r="C277" s="40" t="s">
        <v>928</v>
      </c>
      <c r="D277" s="197" t="s">
        <v>895</v>
      </c>
      <c r="E277" s="373">
        <v>44</v>
      </c>
      <c r="F277" s="131" t="s">
        <v>495</v>
      </c>
      <c r="G277" s="40" t="s">
        <v>614</v>
      </c>
      <c r="H277" s="40"/>
      <c r="I277" s="155">
        <v>300000</v>
      </c>
      <c r="J277" s="127">
        <v>0</v>
      </c>
      <c r="K277" s="250"/>
      <c r="L277" s="419">
        <v>300000</v>
      </c>
      <c r="M277" s="250">
        <v>0</v>
      </c>
      <c r="N277" s="127">
        <v>0</v>
      </c>
    </row>
    <row r="278" spans="1:21" ht="60" x14ac:dyDescent="0.25">
      <c r="A278" s="93">
        <v>44</v>
      </c>
      <c r="B278" s="127" t="s">
        <v>730</v>
      </c>
      <c r="C278" s="127" t="s">
        <v>397</v>
      </c>
      <c r="D278" s="96" t="s">
        <v>731</v>
      </c>
      <c r="E278" s="167">
        <v>45</v>
      </c>
      <c r="F278" s="127" t="s">
        <v>500</v>
      </c>
      <c r="G278" s="40" t="s">
        <v>614</v>
      </c>
      <c r="H278" s="131">
        <f>4185000+270000</f>
        <v>4455000</v>
      </c>
      <c r="I278" s="155">
        <v>5420000</v>
      </c>
      <c r="J278" s="131">
        <v>0</v>
      </c>
      <c r="K278" s="308">
        <v>2445000</v>
      </c>
      <c r="L278" s="419">
        <v>5255000</v>
      </c>
      <c r="M278" s="308">
        <f>I278-L278</f>
        <v>165000</v>
      </c>
      <c r="N278" s="127">
        <f>M278</f>
        <v>165000</v>
      </c>
    </row>
    <row r="279" spans="1:21" ht="60" x14ac:dyDescent="0.25">
      <c r="A279" s="72"/>
      <c r="B279" s="112">
        <v>1617400061</v>
      </c>
      <c r="C279" s="112" t="s">
        <v>709</v>
      </c>
      <c r="D279" s="112" t="s">
        <v>710</v>
      </c>
      <c r="E279" s="380">
        <v>45</v>
      </c>
      <c r="F279" s="204" t="s">
        <v>495</v>
      </c>
      <c r="G279" s="116" t="s">
        <v>614</v>
      </c>
      <c r="H279" s="112">
        <v>200000</v>
      </c>
      <c r="I279" s="345">
        <f>H279-J279</f>
        <v>200000</v>
      </c>
      <c r="J279" s="136">
        <v>0</v>
      </c>
      <c r="K279" s="275">
        <v>0</v>
      </c>
      <c r="L279" s="419">
        <v>200000</v>
      </c>
      <c r="M279" s="275">
        <f>I279-L279</f>
        <v>0</v>
      </c>
      <c r="N279" s="136">
        <f>M279</f>
        <v>0</v>
      </c>
      <c r="R279" s="62"/>
      <c r="S279" s="62"/>
      <c r="T279" s="62"/>
      <c r="U279" s="62"/>
    </row>
    <row r="280" spans="1:21" ht="105" x14ac:dyDescent="0.25">
      <c r="A280" s="93">
        <v>4</v>
      </c>
      <c r="B280" s="88">
        <v>400061</v>
      </c>
      <c r="C280" s="279" t="s">
        <v>626</v>
      </c>
      <c r="D280" s="279" t="s">
        <v>627</v>
      </c>
      <c r="E280" s="375">
        <v>46</v>
      </c>
      <c r="F280" s="131" t="s">
        <v>495</v>
      </c>
      <c r="G280" s="40" t="s">
        <v>614</v>
      </c>
      <c r="H280" s="88">
        <v>50000</v>
      </c>
      <c r="I280" s="155">
        <f>H280-J280</f>
        <v>50000</v>
      </c>
      <c r="J280" s="131">
        <v>0</v>
      </c>
      <c r="K280" s="250">
        <v>50000</v>
      </c>
      <c r="L280" s="255">
        <f>25000+25000</f>
        <v>50000</v>
      </c>
      <c r="M280" s="127">
        <f>H280-(J280+K280)</f>
        <v>0</v>
      </c>
      <c r="N280" s="127">
        <f>M280</f>
        <v>0</v>
      </c>
    </row>
    <row r="281" spans="1:21" ht="75" x14ac:dyDescent="0.25">
      <c r="A281" s="93">
        <v>6</v>
      </c>
      <c r="B281" s="88">
        <v>400063</v>
      </c>
      <c r="C281" s="279" t="s">
        <v>630</v>
      </c>
      <c r="D281" s="279" t="s">
        <v>631</v>
      </c>
      <c r="E281" s="375">
        <v>46</v>
      </c>
      <c r="F281" s="131" t="s">
        <v>495</v>
      </c>
      <c r="G281" s="40" t="s">
        <v>614</v>
      </c>
      <c r="H281" s="88">
        <v>100000</v>
      </c>
      <c r="I281" s="155">
        <f>H281-J281</f>
        <v>100000</v>
      </c>
      <c r="J281" s="131">
        <v>0</v>
      </c>
      <c r="K281" s="250">
        <v>100000</v>
      </c>
      <c r="L281" s="255">
        <v>100000</v>
      </c>
      <c r="M281" s="127">
        <f>H281-(J281+K281)</f>
        <v>0</v>
      </c>
      <c r="N281" s="127">
        <f>M281</f>
        <v>0</v>
      </c>
    </row>
    <row r="282" spans="1:21" ht="60" x14ac:dyDescent="0.25">
      <c r="A282" s="93">
        <v>3</v>
      </c>
      <c r="B282" s="88">
        <v>400060</v>
      </c>
      <c r="C282" s="297" t="s">
        <v>624</v>
      </c>
      <c r="D282" s="279" t="s">
        <v>625</v>
      </c>
      <c r="E282" s="375">
        <v>46</v>
      </c>
      <c r="F282" s="131" t="s">
        <v>500</v>
      </c>
      <c r="G282" s="40" t="s">
        <v>614</v>
      </c>
      <c r="H282" s="88">
        <v>216000</v>
      </c>
      <c r="I282" s="155">
        <f>H282-J282</f>
        <v>216000</v>
      </c>
      <c r="J282" s="131">
        <v>0</v>
      </c>
      <c r="K282" s="250">
        <f>72000+72000</f>
        <v>144000</v>
      </c>
      <c r="L282" s="255">
        <f>72000+72000</f>
        <v>144000</v>
      </c>
      <c r="M282" s="127">
        <f>H282-(J282+K282)</f>
        <v>72000</v>
      </c>
      <c r="N282" s="127">
        <f>M282</f>
        <v>72000</v>
      </c>
    </row>
    <row r="283" spans="1:21" ht="25.5" x14ac:dyDescent="0.25">
      <c r="A283" s="93"/>
      <c r="B283" s="167">
        <v>400023</v>
      </c>
      <c r="C283" s="420" t="s">
        <v>914</v>
      </c>
      <c r="D283" s="252" t="s">
        <v>915</v>
      </c>
      <c r="E283" s="375">
        <v>47</v>
      </c>
      <c r="F283" s="131" t="s">
        <v>500</v>
      </c>
      <c r="G283" s="40"/>
      <c r="H283" s="88"/>
      <c r="I283" s="155">
        <v>250000</v>
      </c>
      <c r="J283" s="131">
        <v>125000</v>
      </c>
      <c r="K283" s="250"/>
      <c r="L283" s="419">
        <v>75000</v>
      </c>
      <c r="M283" s="250">
        <f>I283-J283-L283</f>
        <v>50000</v>
      </c>
      <c r="N283" s="127"/>
    </row>
    <row r="284" spans="1:21" ht="89.25" x14ac:dyDescent="0.2">
      <c r="A284" s="167"/>
      <c r="B284" s="339">
        <v>1617400058</v>
      </c>
      <c r="C284" s="116" t="s">
        <v>707</v>
      </c>
      <c r="D284" s="346" t="s">
        <v>708</v>
      </c>
      <c r="E284" s="385"/>
      <c r="F284" s="136" t="s">
        <v>495</v>
      </c>
      <c r="G284" s="141" t="s">
        <v>913</v>
      </c>
      <c r="H284" s="141">
        <v>50000</v>
      </c>
      <c r="I284" s="345">
        <f>H284-J284</f>
        <v>50000</v>
      </c>
      <c r="J284" s="136">
        <v>0</v>
      </c>
      <c r="K284" s="136">
        <v>0</v>
      </c>
      <c r="L284" s="301">
        <v>50000</v>
      </c>
      <c r="M284" s="275">
        <f>I284-L284</f>
        <v>0</v>
      </c>
      <c r="N284" s="136">
        <v>0</v>
      </c>
      <c r="R284" s="66"/>
      <c r="S284" s="66"/>
      <c r="T284" s="66"/>
      <c r="U284" s="66"/>
    </row>
    <row r="285" spans="1:21" ht="51" x14ac:dyDescent="0.25">
      <c r="A285" s="93">
        <v>4</v>
      </c>
      <c r="B285" s="131">
        <v>500063</v>
      </c>
      <c r="C285" s="65" t="s">
        <v>491</v>
      </c>
      <c r="D285" s="72" t="s">
        <v>492</v>
      </c>
      <c r="E285" s="363">
        <v>47</v>
      </c>
      <c r="F285" s="131" t="s">
        <v>17</v>
      </c>
      <c r="G285" s="52" t="s">
        <v>487</v>
      </c>
      <c r="H285" s="246"/>
      <c r="I285" s="40">
        <v>60000</v>
      </c>
      <c r="J285" s="131">
        <v>0</v>
      </c>
      <c r="K285" s="127"/>
      <c r="L285" s="178">
        <v>60000</v>
      </c>
      <c r="M285" s="127">
        <v>0</v>
      </c>
      <c r="N285" s="127"/>
    </row>
    <row r="286" spans="1:21" ht="51" x14ac:dyDescent="0.25">
      <c r="A286" s="93">
        <v>6</v>
      </c>
      <c r="B286" s="93">
        <v>500065</v>
      </c>
      <c r="C286" s="52" t="s">
        <v>496</v>
      </c>
      <c r="D286" s="93" t="s">
        <v>497</v>
      </c>
      <c r="E286" s="93">
        <v>47</v>
      </c>
      <c r="F286" s="131" t="s">
        <v>17</v>
      </c>
      <c r="G286" s="167" t="s">
        <v>487</v>
      </c>
      <c r="H286" s="131">
        <v>100000</v>
      </c>
      <c r="I286" s="40">
        <f t="shared" ref="I286:I292" si="30">H286-J286</f>
        <v>100000</v>
      </c>
      <c r="J286" s="131">
        <v>0</v>
      </c>
      <c r="K286" s="127">
        <f>50000+25000+25000</f>
        <v>100000</v>
      </c>
      <c r="L286" s="178">
        <f>50000+25000+25000</f>
        <v>100000</v>
      </c>
      <c r="M286" s="127">
        <f t="shared" ref="M286:M292" si="31">H286-(J286+L286)</f>
        <v>0</v>
      </c>
      <c r="N286" s="127">
        <f>M286</f>
        <v>0</v>
      </c>
    </row>
    <row r="287" spans="1:21" ht="90" x14ac:dyDescent="0.25">
      <c r="A287" s="93">
        <v>9</v>
      </c>
      <c r="B287" s="40">
        <v>500074</v>
      </c>
      <c r="C287" s="40" t="s">
        <v>503</v>
      </c>
      <c r="D287" s="40" t="s">
        <v>504</v>
      </c>
      <c r="E287" s="342">
        <v>47</v>
      </c>
      <c r="F287" s="131" t="s">
        <v>495</v>
      </c>
      <c r="G287" s="197" t="s">
        <v>487</v>
      </c>
      <c r="H287" s="131">
        <v>40000</v>
      </c>
      <c r="I287" s="40">
        <f t="shared" si="30"/>
        <v>40000</v>
      </c>
      <c r="J287" s="131">
        <v>0</v>
      </c>
      <c r="K287" s="127">
        <v>40000</v>
      </c>
      <c r="L287" s="178">
        <v>40000</v>
      </c>
      <c r="M287" s="127">
        <f t="shared" si="31"/>
        <v>0</v>
      </c>
      <c r="N287" s="127">
        <f>M287</f>
        <v>0</v>
      </c>
    </row>
    <row r="288" spans="1:21" ht="135" x14ac:dyDescent="0.25">
      <c r="A288" s="93">
        <v>11</v>
      </c>
      <c r="B288" s="131">
        <v>500076</v>
      </c>
      <c r="C288" s="52" t="s">
        <v>507</v>
      </c>
      <c r="D288" s="40" t="s">
        <v>508</v>
      </c>
      <c r="E288" s="342">
        <v>47</v>
      </c>
      <c r="F288" s="131" t="s">
        <v>495</v>
      </c>
      <c r="G288" s="197" t="s">
        <v>487</v>
      </c>
      <c r="H288" s="131">
        <v>50000</v>
      </c>
      <c r="I288" s="40">
        <f t="shared" si="30"/>
        <v>50000</v>
      </c>
      <c r="J288" s="131">
        <v>0</v>
      </c>
      <c r="K288" s="127">
        <v>50000</v>
      </c>
      <c r="L288" s="178">
        <v>50000</v>
      </c>
      <c r="M288" s="127">
        <f t="shared" si="31"/>
        <v>0</v>
      </c>
      <c r="N288" s="127">
        <f>M288</f>
        <v>0</v>
      </c>
    </row>
    <row r="289" spans="1:21" ht="90" x14ac:dyDescent="0.25">
      <c r="A289" s="93">
        <v>12</v>
      </c>
      <c r="B289" s="131">
        <v>500079</v>
      </c>
      <c r="C289" s="131" t="s">
        <v>511</v>
      </c>
      <c r="D289" s="222" t="s">
        <v>512</v>
      </c>
      <c r="E289" s="377">
        <v>47</v>
      </c>
      <c r="F289" s="131" t="s">
        <v>495</v>
      </c>
      <c r="G289" s="222" t="s">
        <v>487</v>
      </c>
      <c r="H289" s="131">
        <v>50000</v>
      </c>
      <c r="I289" s="40">
        <f t="shared" si="30"/>
        <v>50000</v>
      </c>
      <c r="J289" s="131">
        <v>0</v>
      </c>
      <c r="K289" s="127">
        <v>50000</v>
      </c>
      <c r="L289" s="178">
        <v>50000</v>
      </c>
      <c r="M289" s="127">
        <f t="shared" si="31"/>
        <v>0</v>
      </c>
      <c r="N289" s="127">
        <f>M289</f>
        <v>0</v>
      </c>
    </row>
    <row r="290" spans="1:21" ht="90" x14ac:dyDescent="0.25">
      <c r="A290" s="93">
        <v>17</v>
      </c>
      <c r="B290" s="197">
        <v>1617500008</v>
      </c>
      <c r="C290" s="197" t="s">
        <v>523</v>
      </c>
      <c r="D290" s="197" t="s">
        <v>524</v>
      </c>
      <c r="E290" s="365">
        <v>47</v>
      </c>
      <c r="F290" s="131" t="s">
        <v>500</v>
      </c>
      <c r="G290" s="197" t="s">
        <v>487</v>
      </c>
      <c r="H290" s="197">
        <v>405000</v>
      </c>
      <c r="I290" s="40">
        <f t="shared" si="30"/>
        <v>405000</v>
      </c>
      <c r="J290" s="131">
        <v>0</v>
      </c>
      <c r="K290" s="127">
        <v>135000</v>
      </c>
      <c r="L290" s="178">
        <v>135000</v>
      </c>
      <c r="M290" s="127">
        <f t="shared" si="31"/>
        <v>270000</v>
      </c>
      <c r="N290" s="127">
        <f>M290/2</f>
        <v>135000</v>
      </c>
    </row>
    <row r="291" spans="1:21" ht="90" x14ac:dyDescent="0.25">
      <c r="A291" s="93">
        <v>27</v>
      </c>
      <c r="B291" s="131">
        <v>1617500029</v>
      </c>
      <c r="C291" s="40" t="s">
        <v>556</v>
      </c>
      <c r="D291" s="40" t="s">
        <v>557</v>
      </c>
      <c r="E291" s="342">
        <v>47</v>
      </c>
      <c r="F291" s="131" t="s">
        <v>495</v>
      </c>
      <c r="G291" s="197" t="s">
        <v>487</v>
      </c>
      <c r="H291" s="131">
        <v>20000</v>
      </c>
      <c r="I291" s="40">
        <f t="shared" si="30"/>
        <v>20000</v>
      </c>
      <c r="J291" s="131">
        <v>0</v>
      </c>
      <c r="K291" s="127">
        <v>20000</v>
      </c>
      <c r="L291" s="178">
        <f>20000</f>
        <v>20000</v>
      </c>
      <c r="M291" s="127">
        <f t="shared" si="31"/>
        <v>0</v>
      </c>
      <c r="N291" s="127">
        <f t="shared" ref="N291:N297" si="32">M291</f>
        <v>0</v>
      </c>
    </row>
    <row r="292" spans="1:21" ht="90" x14ac:dyDescent="0.25">
      <c r="A292" s="93">
        <v>32</v>
      </c>
      <c r="B292" s="40" t="s">
        <v>590</v>
      </c>
      <c r="C292" s="131" t="s">
        <v>591</v>
      </c>
      <c r="D292" s="40" t="s">
        <v>592</v>
      </c>
      <c r="E292" s="342">
        <v>47</v>
      </c>
      <c r="F292" s="131" t="s">
        <v>495</v>
      </c>
      <c r="G292" s="197" t="s">
        <v>487</v>
      </c>
      <c r="H292" s="131">
        <v>25000</v>
      </c>
      <c r="I292" s="40">
        <f t="shared" si="30"/>
        <v>25000</v>
      </c>
      <c r="J292" s="131">
        <v>0</v>
      </c>
      <c r="K292" s="127">
        <v>25000</v>
      </c>
      <c r="L292" s="178">
        <v>25000</v>
      </c>
      <c r="M292" s="127">
        <f t="shared" si="31"/>
        <v>0</v>
      </c>
      <c r="N292" s="127">
        <f t="shared" si="32"/>
        <v>0</v>
      </c>
    </row>
    <row r="293" spans="1:21" ht="90" x14ac:dyDescent="0.25">
      <c r="A293" s="93"/>
      <c r="B293" s="131" t="s">
        <v>923</v>
      </c>
      <c r="C293" s="40" t="s">
        <v>922</v>
      </c>
      <c r="D293" s="40" t="s">
        <v>921</v>
      </c>
      <c r="E293" s="342">
        <v>47</v>
      </c>
      <c r="F293" s="131" t="s">
        <v>495</v>
      </c>
      <c r="G293" s="197" t="s">
        <v>487</v>
      </c>
      <c r="H293" s="131"/>
      <c r="I293" s="270">
        <f>500000+490000+200000</f>
        <v>1190000</v>
      </c>
      <c r="J293" s="131">
        <v>0</v>
      </c>
      <c r="K293" s="127"/>
      <c r="L293" s="301">
        <f>500000+490000</f>
        <v>990000</v>
      </c>
      <c r="M293" s="127">
        <f>I293-L293</f>
        <v>200000</v>
      </c>
      <c r="N293" s="127">
        <f t="shared" si="32"/>
        <v>200000</v>
      </c>
    </row>
    <row r="294" spans="1:21" ht="60" x14ac:dyDescent="0.25">
      <c r="A294" s="294">
        <v>45</v>
      </c>
      <c r="B294" s="112">
        <v>1617500037</v>
      </c>
      <c r="C294" s="112" t="s">
        <v>574</v>
      </c>
      <c r="D294" s="112" t="s">
        <v>575</v>
      </c>
      <c r="E294" s="380">
        <v>47</v>
      </c>
      <c r="F294" s="204" t="s">
        <v>495</v>
      </c>
      <c r="G294" s="141" t="s">
        <v>487</v>
      </c>
      <c r="H294" s="112">
        <v>50000</v>
      </c>
      <c r="I294" s="116">
        <f t="shared" ref="I294:I301" si="33">H294-J294</f>
        <v>50000</v>
      </c>
      <c r="J294" s="204">
        <v>0</v>
      </c>
      <c r="K294" s="204">
        <v>0</v>
      </c>
      <c r="L294" s="413">
        <v>50000</v>
      </c>
      <c r="M294" s="136">
        <f t="shared" ref="M294:M301" si="34">H294-(J294+L294)</f>
        <v>0</v>
      </c>
      <c r="N294" s="136">
        <f t="shared" si="32"/>
        <v>0</v>
      </c>
      <c r="R294" s="62"/>
      <c r="S294" s="62"/>
      <c r="T294" s="62"/>
      <c r="U294" s="62"/>
    </row>
    <row r="295" spans="1:21" ht="90" x14ac:dyDescent="0.25">
      <c r="A295" s="93"/>
      <c r="B295" s="176">
        <v>500046</v>
      </c>
      <c r="C295" s="160" t="s">
        <v>919</v>
      </c>
      <c r="D295" s="422" t="s">
        <v>920</v>
      </c>
      <c r="E295" s="342">
        <v>48</v>
      </c>
      <c r="F295" s="131" t="s">
        <v>17</v>
      </c>
      <c r="G295" s="197" t="s">
        <v>487</v>
      </c>
      <c r="H295" s="131">
        <v>500000</v>
      </c>
      <c r="I295" s="6">
        <f t="shared" si="33"/>
        <v>34000</v>
      </c>
      <c r="J295" s="40">
        <v>466000</v>
      </c>
      <c r="K295" s="127"/>
      <c r="L295" s="301">
        <v>34000</v>
      </c>
      <c r="M295" s="127">
        <f t="shared" si="34"/>
        <v>0</v>
      </c>
      <c r="N295" s="127">
        <f t="shared" si="32"/>
        <v>0</v>
      </c>
    </row>
    <row r="296" spans="1:21" ht="51" x14ac:dyDescent="0.25">
      <c r="A296" s="93">
        <v>1</v>
      </c>
      <c r="B296" s="40">
        <v>500045</v>
      </c>
      <c r="C296" s="40" t="s">
        <v>485</v>
      </c>
      <c r="D296" s="52" t="s">
        <v>486</v>
      </c>
      <c r="E296" s="93">
        <v>48</v>
      </c>
      <c r="F296" s="131" t="s">
        <v>17</v>
      </c>
      <c r="G296" s="79" t="s">
        <v>487</v>
      </c>
      <c r="H296" s="40">
        <v>500000</v>
      </c>
      <c r="I296" s="40">
        <f t="shared" si="33"/>
        <v>250000</v>
      </c>
      <c r="J296" s="131">
        <v>250000</v>
      </c>
      <c r="K296" s="127">
        <f>200000+50000</f>
        <v>250000</v>
      </c>
      <c r="L296" s="178">
        <f>200000+50000</f>
        <v>250000</v>
      </c>
      <c r="M296" s="127">
        <f t="shared" si="34"/>
        <v>0</v>
      </c>
      <c r="N296" s="127">
        <f t="shared" si="32"/>
        <v>0</v>
      </c>
    </row>
    <row r="297" spans="1:21" ht="51" x14ac:dyDescent="0.25">
      <c r="A297" s="93">
        <v>2</v>
      </c>
      <c r="B297" s="40">
        <v>500056</v>
      </c>
      <c r="C297" s="40" t="s">
        <v>488</v>
      </c>
      <c r="D297" s="40" t="s">
        <v>489</v>
      </c>
      <c r="E297" s="342">
        <v>48</v>
      </c>
      <c r="F297" s="131" t="s">
        <v>17</v>
      </c>
      <c r="G297" s="52" t="s">
        <v>487</v>
      </c>
      <c r="H297" s="131">
        <v>200000</v>
      </c>
      <c r="I297" s="40">
        <f t="shared" si="33"/>
        <v>125000</v>
      </c>
      <c r="J297" s="131">
        <v>75000</v>
      </c>
      <c r="K297" s="127">
        <f>100000+25000</f>
        <v>125000</v>
      </c>
      <c r="L297" s="178">
        <f>100000+25000</f>
        <v>125000</v>
      </c>
      <c r="M297" s="127">
        <f t="shared" si="34"/>
        <v>0</v>
      </c>
      <c r="N297" s="127">
        <f t="shared" si="32"/>
        <v>0</v>
      </c>
    </row>
    <row r="298" spans="1:21" ht="51" x14ac:dyDescent="0.25">
      <c r="A298" s="93">
        <v>3</v>
      </c>
      <c r="B298" s="40">
        <v>500056</v>
      </c>
      <c r="C298" s="40" t="s">
        <v>488</v>
      </c>
      <c r="D298" s="52" t="s">
        <v>490</v>
      </c>
      <c r="E298" s="93">
        <v>48</v>
      </c>
      <c r="F298" s="131" t="s">
        <v>17</v>
      </c>
      <c r="G298" s="52" t="s">
        <v>487</v>
      </c>
      <c r="H298" s="131">
        <v>100000</v>
      </c>
      <c r="I298" s="40">
        <f t="shared" si="33"/>
        <v>100000</v>
      </c>
      <c r="J298" s="131">
        <v>0</v>
      </c>
      <c r="K298" s="127">
        <f>35000+65000</f>
        <v>100000</v>
      </c>
      <c r="L298" s="178">
        <f>35000+65000</f>
        <v>100000</v>
      </c>
      <c r="M298" s="127">
        <f t="shared" si="34"/>
        <v>0</v>
      </c>
      <c r="N298" s="127">
        <v>0</v>
      </c>
    </row>
    <row r="299" spans="1:21" ht="90" x14ac:dyDescent="0.25">
      <c r="A299" s="93">
        <v>10</v>
      </c>
      <c r="B299" s="40">
        <v>500075</v>
      </c>
      <c r="C299" s="40" t="s">
        <v>505</v>
      </c>
      <c r="D299" s="40" t="s">
        <v>506</v>
      </c>
      <c r="E299" s="342">
        <v>48</v>
      </c>
      <c r="F299" s="131" t="s">
        <v>17</v>
      </c>
      <c r="G299" s="197" t="s">
        <v>487</v>
      </c>
      <c r="H299" s="131">
        <v>500000</v>
      </c>
      <c r="I299" s="40">
        <f t="shared" si="33"/>
        <v>500000</v>
      </c>
      <c r="J299" s="131">
        <v>0</v>
      </c>
      <c r="K299" s="127">
        <f>170000+170000+160000</f>
        <v>500000</v>
      </c>
      <c r="L299" s="178">
        <f>170000+170000+160000</f>
        <v>500000</v>
      </c>
      <c r="M299" s="127">
        <f t="shared" si="34"/>
        <v>0</v>
      </c>
      <c r="N299" s="127">
        <f t="shared" ref="N299:N312" si="35">M299</f>
        <v>0</v>
      </c>
    </row>
    <row r="300" spans="1:21" ht="90" x14ac:dyDescent="0.25">
      <c r="A300" s="93">
        <v>16</v>
      </c>
      <c r="B300" s="40">
        <v>1617500007</v>
      </c>
      <c r="C300" s="286" t="s">
        <v>521</v>
      </c>
      <c r="D300" s="40" t="s">
        <v>522</v>
      </c>
      <c r="E300" s="342">
        <v>49</v>
      </c>
      <c r="F300" s="131" t="s">
        <v>495</v>
      </c>
      <c r="G300" s="197" t="s">
        <v>487</v>
      </c>
      <c r="H300" s="40">
        <v>900000</v>
      </c>
      <c r="I300" s="40">
        <f t="shared" si="33"/>
        <v>900000</v>
      </c>
      <c r="J300" s="131">
        <v>0</v>
      </c>
      <c r="K300" s="127">
        <v>900000</v>
      </c>
      <c r="L300" s="178">
        <v>900000</v>
      </c>
      <c r="M300" s="127">
        <f t="shared" si="34"/>
        <v>0</v>
      </c>
      <c r="N300" s="127">
        <f t="shared" si="35"/>
        <v>0</v>
      </c>
    </row>
    <row r="301" spans="1:21" ht="105" x14ac:dyDescent="0.25">
      <c r="A301" s="93">
        <v>20</v>
      </c>
      <c r="B301" s="197">
        <v>1617500016</v>
      </c>
      <c r="C301" s="197" t="s">
        <v>537</v>
      </c>
      <c r="D301" s="287" t="s">
        <v>538</v>
      </c>
      <c r="E301" s="389">
        <v>49</v>
      </c>
      <c r="F301" s="131" t="s">
        <v>536</v>
      </c>
      <c r="G301" s="288" t="s">
        <v>487</v>
      </c>
      <c r="H301" s="40">
        <v>400000</v>
      </c>
      <c r="I301" s="40">
        <f t="shared" si="33"/>
        <v>400000</v>
      </c>
      <c r="J301" s="131">
        <v>0</v>
      </c>
      <c r="K301" s="127">
        <v>0</v>
      </c>
      <c r="L301" s="178">
        <v>200000</v>
      </c>
      <c r="M301" s="127">
        <f t="shared" si="34"/>
        <v>200000</v>
      </c>
      <c r="N301" s="127">
        <f t="shared" si="35"/>
        <v>200000</v>
      </c>
    </row>
    <row r="302" spans="1:21" ht="90" x14ac:dyDescent="0.25">
      <c r="A302" s="196"/>
      <c r="B302" s="244">
        <v>1617500041</v>
      </c>
      <c r="C302" s="244" t="s">
        <v>578</v>
      </c>
      <c r="D302" s="244" t="s">
        <v>579</v>
      </c>
      <c r="E302" s="389">
        <v>49</v>
      </c>
      <c r="F302" s="6" t="s">
        <v>495</v>
      </c>
      <c r="G302" s="131" t="s">
        <v>487</v>
      </c>
      <c r="H302" s="242"/>
      <c r="I302" s="242">
        <v>300000</v>
      </c>
      <c r="J302" s="242">
        <v>0</v>
      </c>
      <c r="K302" s="127">
        <v>0</v>
      </c>
      <c r="L302" s="301">
        <v>300000</v>
      </c>
      <c r="M302" s="242">
        <f>I302-L302</f>
        <v>0</v>
      </c>
      <c r="N302" s="90">
        <f t="shared" si="35"/>
        <v>0</v>
      </c>
    </row>
    <row r="303" spans="1:21" ht="45" x14ac:dyDescent="0.25">
      <c r="A303" s="93">
        <v>20</v>
      </c>
      <c r="B303" s="197">
        <v>1617300002</v>
      </c>
      <c r="C303" s="197" t="s">
        <v>436</v>
      </c>
      <c r="D303" s="197" t="s">
        <v>437</v>
      </c>
      <c r="E303" s="187">
        <v>50</v>
      </c>
      <c r="F303" s="131" t="s">
        <v>17</v>
      </c>
      <c r="G303" s="52" t="s">
        <v>438</v>
      </c>
      <c r="H303" s="197">
        <v>386250</v>
      </c>
      <c r="I303" s="131">
        <f t="shared" ref="I303:I314" si="36">H303-J303</f>
        <v>386250</v>
      </c>
      <c r="J303" s="131">
        <v>0</v>
      </c>
      <c r="K303" s="250">
        <f>130000+150000</f>
        <v>280000</v>
      </c>
      <c r="L303" s="178">
        <f>130000+150000+100000</f>
        <v>380000</v>
      </c>
      <c r="M303" s="127">
        <f>H303-(J303+K303)</f>
        <v>106250</v>
      </c>
      <c r="N303" s="127">
        <f t="shared" si="35"/>
        <v>106250</v>
      </c>
    </row>
    <row r="304" spans="1:21" ht="60" x14ac:dyDescent="0.25">
      <c r="A304" s="93">
        <v>7</v>
      </c>
      <c r="B304" s="40">
        <v>500066</v>
      </c>
      <c r="C304" s="52" t="s">
        <v>498</v>
      </c>
      <c r="D304" s="40" t="s">
        <v>499</v>
      </c>
      <c r="E304" s="342">
        <v>50</v>
      </c>
      <c r="F304" s="131" t="s">
        <v>500</v>
      </c>
      <c r="G304" s="197" t="s">
        <v>438</v>
      </c>
      <c r="H304" s="131">
        <v>250000</v>
      </c>
      <c r="I304" s="40">
        <f t="shared" si="36"/>
        <v>250000</v>
      </c>
      <c r="J304" s="131">
        <v>0</v>
      </c>
      <c r="K304" s="127">
        <v>125000</v>
      </c>
      <c r="L304" s="301">
        <f>125000+100000</f>
        <v>225000</v>
      </c>
      <c r="M304" s="127">
        <f t="shared" ref="M304:M314" si="37">H304-(J304+L304)</f>
        <v>25000</v>
      </c>
      <c r="N304" s="127">
        <f t="shared" si="35"/>
        <v>25000</v>
      </c>
    </row>
    <row r="305" spans="1:21" ht="45" x14ac:dyDescent="0.25">
      <c r="A305" s="93">
        <v>22</v>
      </c>
      <c r="B305" s="40">
        <v>1617500020</v>
      </c>
      <c r="C305" s="40" t="s">
        <v>543</v>
      </c>
      <c r="D305" s="40" t="s">
        <v>544</v>
      </c>
      <c r="E305" s="342">
        <v>50</v>
      </c>
      <c r="F305" s="131" t="s">
        <v>17</v>
      </c>
      <c r="G305" s="197" t="s">
        <v>438</v>
      </c>
      <c r="H305" s="40">
        <v>400000</v>
      </c>
      <c r="I305" s="40">
        <f t="shared" si="36"/>
        <v>400000</v>
      </c>
      <c r="J305" s="131">
        <v>0</v>
      </c>
      <c r="K305" s="127">
        <v>300000</v>
      </c>
      <c r="L305" s="301">
        <f>300000+100000</f>
        <v>400000</v>
      </c>
      <c r="M305" s="127">
        <f t="shared" si="37"/>
        <v>0</v>
      </c>
      <c r="N305" s="127">
        <f t="shared" si="35"/>
        <v>0</v>
      </c>
    </row>
    <row r="306" spans="1:21" ht="60" x14ac:dyDescent="0.25">
      <c r="A306" s="93">
        <v>23</v>
      </c>
      <c r="B306" s="197">
        <v>1617500021</v>
      </c>
      <c r="C306" s="197" t="s">
        <v>543</v>
      </c>
      <c r="D306" s="197" t="s">
        <v>545</v>
      </c>
      <c r="E306" s="365">
        <v>50</v>
      </c>
      <c r="F306" s="285" t="s">
        <v>500</v>
      </c>
      <c r="G306" s="197" t="s">
        <v>438</v>
      </c>
      <c r="H306" s="197">
        <v>100000</v>
      </c>
      <c r="I306" s="40">
        <f t="shared" si="36"/>
        <v>100000</v>
      </c>
      <c r="J306" s="289">
        <v>0</v>
      </c>
      <c r="K306" s="158">
        <f>50000+50000</f>
        <v>100000</v>
      </c>
      <c r="L306" s="290">
        <f>50000+50000</f>
        <v>100000</v>
      </c>
      <c r="M306" s="127">
        <f t="shared" si="37"/>
        <v>0</v>
      </c>
      <c r="N306" s="127">
        <f t="shared" si="35"/>
        <v>0</v>
      </c>
    </row>
    <row r="307" spans="1:21" ht="45" x14ac:dyDescent="0.25">
      <c r="A307" s="93">
        <v>31</v>
      </c>
      <c r="B307" s="222" t="s">
        <v>588</v>
      </c>
      <c r="C307" s="222" t="s">
        <v>471</v>
      </c>
      <c r="D307" s="222" t="s">
        <v>589</v>
      </c>
      <c r="E307" s="377">
        <v>50</v>
      </c>
      <c r="F307" s="131" t="s">
        <v>495</v>
      </c>
      <c r="G307" s="222" t="s">
        <v>438</v>
      </c>
      <c r="H307" s="131">
        <v>15000</v>
      </c>
      <c r="I307" s="40">
        <f t="shared" si="36"/>
        <v>15000</v>
      </c>
      <c r="J307" s="131">
        <v>0</v>
      </c>
      <c r="K307" s="127">
        <v>15000</v>
      </c>
      <c r="L307" s="178">
        <v>15000</v>
      </c>
      <c r="M307" s="127">
        <f t="shared" si="37"/>
        <v>0</v>
      </c>
      <c r="N307" s="127">
        <f t="shared" si="35"/>
        <v>0</v>
      </c>
    </row>
    <row r="308" spans="1:21" ht="60" x14ac:dyDescent="0.25">
      <c r="A308" s="93">
        <v>8</v>
      </c>
      <c r="B308" s="131">
        <v>500068</v>
      </c>
      <c r="C308" s="279" t="s">
        <v>501</v>
      </c>
      <c r="D308" s="279" t="s">
        <v>502</v>
      </c>
      <c r="E308" s="375">
        <v>51</v>
      </c>
      <c r="F308" s="131" t="s">
        <v>500</v>
      </c>
      <c r="G308" s="280" t="s">
        <v>438</v>
      </c>
      <c r="H308" s="131">
        <v>492000</v>
      </c>
      <c r="I308" s="40">
        <f t="shared" si="36"/>
        <v>492000</v>
      </c>
      <c r="J308" s="131">
        <v>0</v>
      </c>
      <c r="K308" s="127">
        <f>125000+120000</f>
        <v>245000</v>
      </c>
      <c r="L308" s="178">
        <f>125000+120000</f>
        <v>245000</v>
      </c>
      <c r="M308" s="127">
        <f t="shared" si="37"/>
        <v>247000</v>
      </c>
      <c r="N308" s="127">
        <f t="shared" si="35"/>
        <v>247000</v>
      </c>
    </row>
    <row r="309" spans="1:21" ht="45" x14ac:dyDescent="0.25">
      <c r="A309" s="93">
        <v>13</v>
      </c>
      <c r="B309" s="131">
        <v>500081</v>
      </c>
      <c r="C309" s="195" t="s">
        <v>513</v>
      </c>
      <c r="D309" s="222" t="s">
        <v>514</v>
      </c>
      <c r="E309" s="377">
        <v>51</v>
      </c>
      <c r="F309" s="285" t="s">
        <v>17</v>
      </c>
      <c r="G309" s="222" t="s">
        <v>438</v>
      </c>
      <c r="H309" s="282">
        <v>450000</v>
      </c>
      <c r="I309" s="40">
        <f t="shared" si="36"/>
        <v>450000</v>
      </c>
      <c r="J309" s="282">
        <v>0</v>
      </c>
      <c r="K309" s="283">
        <f>250000+200000</f>
        <v>450000</v>
      </c>
      <c r="L309" s="284">
        <f>250000+200000</f>
        <v>450000</v>
      </c>
      <c r="M309" s="127">
        <f t="shared" si="37"/>
        <v>0</v>
      </c>
      <c r="N309" s="127">
        <f t="shared" si="35"/>
        <v>0</v>
      </c>
    </row>
    <row r="310" spans="1:21" ht="45" x14ac:dyDescent="0.25">
      <c r="A310" s="93">
        <v>14</v>
      </c>
      <c r="B310" s="40">
        <v>1617500004</v>
      </c>
      <c r="C310" s="40" t="s">
        <v>517</v>
      </c>
      <c r="D310" s="40" t="s">
        <v>518</v>
      </c>
      <c r="E310" s="342">
        <v>51</v>
      </c>
      <c r="F310" s="131" t="s">
        <v>500</v>
      </c>
      <c r="G310" s="197" t="s">
        <v>438</v>
      </c>
      <c r="H310" s="40">
        <v>475000</v>
      </c>
      <c r="I310" s="40">
        <f t="shared" si="36"/>
        <v>475000</v>
      </c>
      <c r="J310" s="131">
        <v>0</v>
      </c>
      <c r="K310" s="127">
        <f>150000+200000</f>
        <v>350000</v>
      </c>
      <c r="L310" s="301">
        <f>150000+200000+125000</f>
        <v>475000</v>
      </c>
      <c r="M310" s="127">
        <f t="shared" si="37"/>
        <v>0</v>
      </c>
      <c r="N310" s="127">
        <f t="shared" si="35"/>
        <v>0</v>
      </c>
    </row>
    <row r="311" spans="1:21" ht="120" x14ac:dyDescent="0.25">
      <c r="A311" s="93">
        <v>24</v>
      </c>
      <c r="B311" s="131">
        <v>1617500022</v>
      </c>
      <c r="C311" s="40" t="s">
        <v>546</v>
      </c>
      <c r="D311" s="40" t="s">
        <v>547</v>
      </c>
      <c r="E311" s="342">
        <v>51</v>
      </c>
      <c r="F311" s="131" t="s">
        <v>495</v>
      </c>
      <c r="G311" s="197" t="s">
        <v>438</v>
      </c>
      <c r="H311" s="40">
        <v>125000</v>
      </c>
      <c r="I311" s="40">
        <f t="shared" si="36"/>
        <v>125000</v>
      </c>
      <c r="J311" s="131">
        <v>0</v>
      </c>
      <c r="K311" s="127">
        <v>125000</v>
      </c>
      <c r="L311" s="178">
        <v>125000</v>
      </c>
      <c r="M311" s="127">
        <f t="shared" si="37"/>
        <v>0</v>
      </c>
      <c r="N311" s="127">
        <f t="shared" si="35"/>
        <v>0</v>
      </c>
    </row>
    <row r="312" spans="1:21" ht="45" x14ac:dyDescent="0.25">
      <c r="A312" s="93">
        <v>25</v>
      </c>
      <c r="B312" s="197">
        <v>1617500025</v>
      </c>
      <c r="C312" s="197" t="s">
        <v>550</v>
      </c>
      <c r="D312" s="197" t="s">
        <v>551</v>
      </c>
      <c r="E312" s="365">
        <v>51</v>
      </c>
      <c r="F312" s="131" t="s">
        <v>495</v>
      </c>
      <c r="G312" s="197" t="s">
        <v>438</v>
      </c>
      <c r="H312" s="197">
        <v>75000</v>
      </c>
      <c r="I312" s="40">
        <f t="shared" si="36"/>
        <v>75000</v>
      </c>
      <c r="J312" s="131">
        <v>0</v>
      </c>
      <c r="K312" s="127">
        <v>75000</v>
      </c>
      <c r="L312" s="178">
        <v>75000</v>
      </c>
      <c r="M312" s="127">
        <f t="shared" si="37"/>
        <v>0</v>
      </c>
      <c r="N312" s="127">
        <f t="shared" si="35"/>
        <v>0</v>
      </c>
    </row>
    <row r="313" spans="1:21" ht="51" x14ac:dyDescent="0.25">
      <c r="A313" s="93">
        <v>28</v>
      </c>
      <c r="B313" s="52">
        <v>1617500032</v>
      </c>
      <c r="C313" s="131" t="s">
        <v>563</v>
      </c>
      <c r="D313" s="52" t="s">
        <v>564</v>
      </c>
      <c r="E313" s="93">
        <v>51</v>
      </c>
      <c r="F313" s="127" t="s">
        <v>500</v>
      </c>
      <c r="G313" s="40" t="s">
        <v>438</v>
      </c>
      <c r="H313" s="52">
        <v>408000</v>
      </c>
      <c r="I313" s="40">
        <f t="shared" si="36"/>
        <v>408000</v>
      </c>
      <c r="J313" s="127">
        <v>0</v>
      </c>
      <c r="K313" s="127">
        <v>100000</v>
      </c>
      <c r="L313" s="178">
        <v>100000</v>
      </c>
      <c r="M313" s="127">
        <f t="shared" si="37"/>
        <v>308000</v>
      </c>
      <c r="N313" s="127">
        <v>0</v>
      </c>
    </row>
    <row r="314" spans="1:21" ht="75" x14ac:dyDescent="0.25">
      <c r="A314" s="294">
        <v>42</v>
      </c>
      <c r="B314" s="136">
        <v>1617500031</v>
      </c>
      <c r="C314" s="116" t="s">
        <v>560</v>
      </c>
      <c r="D314" s="116" t="s">
        <v>561</v>
      </c>
      <c r="E314" s="383">
        <v>51</v>
      </c>
      <c r="F314" s="136" t="s">
        <v>495</v>
      </c>
      <c r="G314" s="116" t="s">
        <v>438</v>
      </c>
      <c r="H314" s="136">
        <v>37900</v>
      </c>
      <c r="I314" s="116">
        <f t="shared" si="36"/>
        <v>37900</v>
      </c>
      <c r="J314" s="136">
        <v>0</v>
      </c>
      <c r="K314" s="136">
        <v>0</v>
      </c>
      <c r="L314" s="301">
        <v>37900</v>
      </c>
      <c r="M314" s="136">
        <f t="shared" si="37"/>
        <v>0</v>
      </c>
      <c r="N314" s="136">
        <f t="shared" ref="N314:N322" si="38">M314</f>
        <v>0</v>
      </c>
      <c r="R314" s="62"/>
      <c r="S314" s="62"/>
      <c r="T314" s="62"/>
      <c r="U314" s="62"/>
    </row>
    <row r="315" spans="1:21" ht="75" x14ac:dyDescent="0.25">
      <c r="A315" s="294"/>
      <c r="B315" s="136">
        <v>1617500043</v>
      </c>
      <c r="C315" s="116" t="s">
        <v>580</v>
      </c>
      <c r="D315" s="116" t="s">
        <v>581</v>
      </c>
      <c r="E315" s="383">
        <v>51</v>
      </c>
      <c r="F315" s="136" t="s">
        <v>495</v>
      </c>
      <c r="G315" s="116" t="s">
        <v>438</v>
      </c>
      <c r="H315" s="136"/>
      <c r="I315" s="116">
        <v>300000</v>
      </c>
      <c r="J315" s="136">
        <v>0</v>
      </c>
      <c r="K315" s="136"/>
      <c r="L315" s="301">
        <v>300000</v>
      </c>
      <c r="M315" s="136">
        <f>I315-L315</f>
        <v>0</v>
      </c>
      <c r="N315" s="136">
        <f t="shared" si="38"/>
        <v>0</v>
      </c>
      <c r="R315" s="62"/>
      <c r="S315" s="62"/>
      <c r="T315" s="62"/>
      <c r="U315" s="62"/>
    </row>
    <row r="316" spans="1:21" ht="90" x14ac:dyDescent="0.25">
      <c r="A316" s="196"/>
      <c r="B316" s="65">
        <v>1617500046</v>
      </c>
      <c r="C316" s="65" t="s">
        <v>586</v>
      </c>
      <c r="D316" s="65" t="s">
        <v>587</v>
      </c>
      <c r="E316" s="383">
        <v>51</v>
      </c>
      <c r="F316" s="136" t="s">
        <v>495</v>
      </c>
      <c r="G316" s="197" t="s">
        <v>438</v>
      </c>
      <c r="H316" s="242"/>
      <c r="I316" s="242">
        <v>100000</v>
      </c>
      <c r="J316" s="242">
        <v>0</v>
      </c>
      <c r="K316" s="127"/>
      <c r="L316" s="301">
        <v>100000</v>
      </c>
      <c r="M316" s="242">
        <f>I316-L316</f>
        <v>0</v>
      </c>
      <c r="N316" s="90">
        <f t="shared" si="38"/>
        <v>0</v>
      </c>
    </row>
    <row r="317" spans="1:21" ht="45" x14ac:dyDescent="0.25">
      <c r="A317" s="93">
        <v>5</v>
      </c>
      <c r="B317" s="131">
        <v>500064</v>
      </c>
      <c r="C317" s="195" t="s">
        <v>493</v>
      </c>
      <c r="D317" s="222" t="s">
        <v>494</v>
      </c>
      <c r="E317" s="377">
        <v>52</v>
      </c>
      <c r="F317" s="131" t="s">
        <v>495</v>
      </c>
      <c r="G317" s="222" t="s">
        <v>438</v>
      </c>
      <c r="H317" s="131">
        <v>55000</v>
      </c>
      <c r="I317" s="40">
        <f t="shared" ref="I317:I323" si="39">H317-J317</f>
        <v>55000</v>
      </c>
      <c r="J317" s="131">
        <v>0</v>
      </c>
      <c r="K317" s="127">
        <v>55000</v>
      </c>
      <c r="L317" s="178">
        <v>55000</v>
      </c>
      <c r="M317" s="127">
        <f t="shared" ref="M317:M323" si="40">H317-(J317+L317)</f>
        <v>0</v>
      </c>
      <c r="N317" s="127">
        <f t="shared" si="38"/>
        <v>0</v>
      </c>
    </row>
    <row r="318" spans="1:21" ht="150" x14ac:dyDescent="0.25">
      <c r="A318" s="93">
        <v>21</v>
      </c>
      <c r="B318" s="40">
        <v>1617500018</v>
      </c>
      <c r="C318" s="40" t="s">
        <v>539</v>
      </c>
      <c r="D318" s="40" t="s">
        <v>540</v>
      </c>
      <c r="E318" s="342">
        <v>52</v>
      </c>
      <c r="F318" s="131" t="s">
        <v>17</v>
      </c>
      <c r="G318" s="197" t="s">
        <v>438</v>
      </c>
      <c r="H318" s="40">
        <v>480000</v>
      </c>
      <c r="I318" s="40">
        <f t="shared" si="39"/>
        <v>480000</v>
      </c>
      <c r="J318" s="131">
        <v>0</v>
      </c>
      <c r="K318" s="127">
        <f>250000+230000</f>
        <v>480000</v>
      </c>
      <c r="L318" s="178">
        <f>250000+230000</f>
        <v>480000</v>
      </c>
      <c r="M318" s="127">
        <f t="shared" si="40"/>
        <v>0</v>
      </c>
      <c r="N318" s="127">
        <f t="shared" si="38"/>
        <v>0</v>
      </c>
    </row>
    <row r="319" spans="1:21" ht="75" x14ac:dyDescent="0.25">
      <c r="A319" s="93">
        <v>26</v>
      </c>
      <c r="B319" s="40">
        <v>1617500026</v>
      </c>
      <c r="C319" s="40" t="s">
        <v>552</v>
      </c>
      <c r="D319" s="40" t="s">
        <v>553</v>
      </c>
      <c r="E319" s="342">
        <v>52</v>
      </c>
      <c r="F319" s="40" t="s">
        <v>500</v>
      </c>
      <c r="G319" s="197" t="s">
        <v>438</v>
      </c>
      <c r="H319" s="40">
        <v>490000</v>
      </c>
      <c r="I319" s="40">
        <f t="shared" si="39"/>
        <v>490000</v>
      </c>
      <c r="J319" s="40">
        <v>0</v>
      </c>
      <c r="K319" s="40">
        <f>240000+200000+12000</f>
        <v>452000</v>
      </c>
      <c r="L319" s="281">
        <f>240000+200000+12000</f>
        <v>452000</v>
      </c>
      <c r="M319" s="127">
        <f t="shared" si="40"/>
        <v>38000</v>
      </c>
      <c r="N319" s="127">
        <f t="shared" si="38"/>
        <v>38000</v>
      </c>
    </row>
    <row r="320" spans="1:21" ht="45" x14ac:dyDescent="0.25">
      <c r="A320" s="93">
        <v>33</v>
      </c>
      <c r="B320" s="40">
        <v>500079</v>
      </c>
      <c r="C320" s="40" t="s">
        <v>509</v>
      </c>
      <c r="D320" s="40" t="s">
        <v>510</v>
      </c>
      <c r="E320" s="342">
        <v>52</v>
      </c>
      <c r="F320" s="40" t="s">
        <v>17</v>
      </c>
      <c r="G320" s="197" t="s">
        <v>438</v>
      </c>
      <c r="H320" s="40">
        <v>596000</v>
      </c>
      <c r="I320" s="40">
        <f t="shared" si="39"/>
        <v>596000</v>
      </c>
      <c r="J320" s="40">
        <v>0</v>
      </c>
      <c r="K320" s="40">
        <f>298400+297600</f>
        <v>596000</v>
      </c>
      <c r="L320" s="281">
        <f>298400+297600</f>
        <v>596000</v>
      </c>
      <c r="M320" s="127">
        <f t="shared" si="40"/>
        <v>0</v>
      </c>
      <c r="N320" s="127">
        <f t="shared" si="38"/>
        <v>0</v>
      </c>
    </row>
    <row r="321" spans="1:21" ht="38.25" x14ac:dyDescent="0.25">
      <c r="A321" s="93">
        <v>34</v>
      </c>
      <c r="B321" s="72" t="s">
        <v>593</v>
      </c>
      <c r="C321" s="167" t="s">
        <v>594</v>
      </c>
      <c r="D321" s="79" t="s">
        <v>595</v>
      </c>
      <c r="E321" s="167">
        <v>52</v>
      </c>
      <c r="F321" s="127" t="s">
        <v>17</v>
      </c>
      <c r="G321" s="79" t="s">
        <v>438</v>
      </c>
      <c r="H321" s="292">
        <v>1824690</v>
      </c>
      <c r="I321" s="40">
        <f t="shared" si="39"/>
        <v>449980</v>
      </c>
      <c r="J321" s="292">
        <f>515150+257850+22470+579240</f>
        <v>1374710</v>
      </c>
      <c r="K321" s="127">
        <v>449980</v>
      </c>
      <c r="L321" s="178">
        <v>449980</v>
      </c>
      <c r="M321" s="127">
        <f t="shared" si="40"/>
        <v>0</v>
      </c>
      <c r="N321" s="127">
        <f t="shared" si="38"/>
        <v>0</v>
      </c>
    </row>
    <row r="322" spans="1:21" ht="45" x14ac:dyDescent="0.25">
      <c r="A322" s="93">
        <v>35</v>
      </c>
      <c r="B322" s="40">
        <v>1617500011</v>
      </c>
      <c r="C322" s="40" t="s">
        <v>509</v>
      </c>
      <c r="D322" s="40" t="s">
        <v>529</v>
      </c>
      <c r="E322" s="342">
        <v>52</v>
      </c>
      <c r="F322" s="40" t="s">
        <v>495</v>
      </c>
      <c r="G322" s="197" t="s">
        <v>438</v>
      </c>
      <c r="H322" s="40">
        <v>130000</v>
      </c>
      <c r="I322" s="40">
        <f t="shared" si="39"/>
        <v>130000</v>
      </c>
      <c r="J322" s="40">
        <v>0</v>
      </c>
      <c r="K322" s="40">
        <v>130000</v>
      </c>
      <c r="L322" s="281">
        <v>130000</v>
      </c>
      <c r="M322" s="127">
        <f t="shared" si="40"/>
        <v>0</v>
      </c>
      <c r="N322" s="127">
        <f t="shared" si="38"/>
        <v>0</v>
      </c>
    </row>
    <row r="323" spans="1:21" ht="45" x14ac:dyDescent="0.25">
      <c r="A323" s="93">
        <v>36</v>
      </c>
      <c r="B323" s="131" t="s">
        <v>597</v>
      </c>
      <c r="C323" s="197"/>
      <c r="D323" s="197" t="s">
        <v>598</v>
      </c>
      <c r="E323" s="365">
        <v>52</v>
      </c>
      <c r="F323" s="127"/>
      <c r="G323" s="197" t="s">
        <v>438</v>
      </c>
      <c r="H323" s="127">
        <v>122977</v>
      </c>
      <c r="I323" s="40">
        <f t="shared" si="39"/>
        <v>122977</v>
      </c>
      <c r="J323" s="127"/>
      <c r="K323" s="127"/>
      <c r="L323" s="178">
        <f>2930+4780+11215+94052+10000</f>
        <v>122977</v>
      </c>
      <c r="M323" s="127">
        <f t="shared" si="40"/>
        <v>0</v>
      </c>
      <c r="N323" s="158"/>
    </row>
    <row r="324" spans="1:21" ht="75" x14ac:dyDescent="0.25">
      <c r="A324" s="93"/>
      <c r="B324" s="40">
        <v>1617500047</v>
      </c>
      <c r="C324" s="197"/>
      <c r="D324" s="197" t="s">
        <v>894</v>
      </c>
      <c r="E324" s="342">
        <v>52</v>
      </c>
      <c r="F324" s="40" t="s">
        <v>495</v>
      </c>
      <c r="G324" s="197" t="s">
        <v>438</v>
      </c>
      <c r="H324" s="127"/>
      <c r="I324" s="40">
        <v>74000</v>
      </c>
      <c r="J324" s="127">
        <v>0</v>
      </c>
      <c r="K324" s="127"/>
      <c r="L324" s="301">
        <v>74000</v>
      </c>
      <c r="M324" s="127">
        <f>I324-L324</f>
        <v>0</v>
      </c>
      <c r="N324" s="158"/>
    </row>
    <row r="325" spans="1:21" ht="45" x14ac:dyDescent="0.25">
      <c r="A325" s="93">
        <v>15</v>
      </c>
      <c r="B325" s="40">
        <v>1617500006</v>
      </c>
      <c r="C325" s="40" t="s">
        <v>519</v>
      </c>
      <c r="D325" s="40" t="s">
        <v>520</v>
      </c>
      <c r="E325" s="342">
        <v>53</v>
      </c>
      <c r="F325" s="131" t="s">
        <v>495</v>
      </c>
      <c r="G325" s="197" t="s">
        <v>438</v>
      </c>
      <c r="H325" s="40">
        <v>8000</v>
      </c>
      <c r="I325" s="40">
        <f t="shared" ref="I325:I331" si="41">H325-J325</f>
        <v>8000</v>
      </c>
      <c r="J325" s="131">
        <v>0</v>
      </c>
      <c r="K325" s="127">
        <v>8000</v>
      </c>
      <c r="L325" s="178">
        <v>8000</v>
      </c>
      <c r="M325" s="127">
        <f t="shared" ref="M325:M331" si="42">H325-(J325+L325)</f>
        <v>0</v>
      </c>
      <c r="N325" s="127">
        <f>M325</f>
        <v>0</v>
      </c>
    </row>
    <row r="326" spans="1:21" ht="60" x14ac:dyDescent="0.25">
      <c r="A326" s="93">
        <v>18</v>
      </c>
      <c r="B326" s="40">
        <v>1617500010</v>
      </c>
      <c r="C326" s="40" t="s">
        <v>527</v>
      </c>
      <c r="D326" s="40" t="s">
        <v>528</v>
      </c>
      <c r="E326" s="342">
        <v>53</v>
      </c>
      <c r="F326" s="131" t="s">
        <v>495</v>
      </c>
      <c r="G326" s="197" t="s">
        <v>438</v>
      </c>
      <c r="H326" s="40">
        <v>65000</v>
      </c>
      <c r="I326" s="40">
        <f t="shared" si="41"/>
        <v>65000</v>
      </c>
      <c r="J326" s="131">
        <v>0</v>
      </c>
      <c r="K326" s="127">
        <v>65000</v>
      </c>
      <c r="L326" s="178">
        <v>65000</v>
      </c>
      <c r="M326" s="127">
        <f t="shared" si="42"/>
        <v>0</v>
      </c>
      <c r="N326" s="127">
        <f>M326</f>
        <v>0</v>
      </c>
    </row>
    <row r="327" spans="1:21" ht="45" x14ac:dyDescent="0.25">
      <c r="A327" s="93">
        <v>19</v>
      </c>
      <c r="B327" s="40">
        <v>1617500012</v>
      </c>
      <c r="C327" s="40" t="s">
        <v>530</v>
      </c>
      <c r="D327" s="40" t="s">
        <v>531</v>
      </c>
      <c r="E327" s="342">
        <v>53</v>
      </c>
      <c r="F327" s="131" t="s">
        <v>495</v>
      </c>
      <c r="G327" s="197" t="s">
        <v>438</v>
      </c>
      <c r="H327" s="131">
        <v>60000</v>
      </c>
      <c r="I327" s="40">
        <f t="shared" si="41"/>
        <v>60000</v>
      </c>
      <c r="J327" s="131">
        <v>0</v>
      </c>
      <c r="K327" s="127">
        <f>30000+30000</f>
        <v>60000</v>
      </c>
      <c r="L327" s="178">
        <f>30000+30000</f>
        <v>60000</v>
      </c>
      <c r="M327" s="127">
        <f t="shared" si="42"/>
        <v>0</v>
      </c>
      <c r="N327" s="127">
        <f>M327</f>
        <v>0</v>
      </c>
    </row>
    <row r="328" spans="1:21" ht="60" x14ac:dyDescent="0.25">
      <c r="A328" s="93">
        <v>29</v>
      </c>
      <c r="B328" s="65">
        <v>1617500036</v>
      </c>
      <c r="C328" s="65" t="s">
        <v>571</v>
      </c>
      <c r="D328" s="65" t="s">
        <v>572</v>
      </c>
      <c r="E328" s="355">
        <v>53</v>
      </c>
      <c r="F328" s="72" t="s">
        <v>573</v>
      </c>
      <c r="G328" s="79" t="s">
        <v>438</v>
      </c>
      <c r="H328" s="65">
        <v>50000</v>
      </c>
      <c r="I328" s="40">
        <f t="shared" si="41"/>
        <v>50000</v>
      </c>
      <c r="J328" s="72">
        <v>0</v>
      </c>
      <c r="K328" s="72">
        <v>50000</v>
      </c>
      <c r="L328" s="163">
        <v>50000</v>
      </c>
      <c r="M328" s="127">
        <f t="shared" si="42"/>
        <v>0</v>
      </c>
      <c r="N328" s="127">
        <f>M328</f>
        <v>0</v>
      </c>
    </row>
    <row r="329" spans="1:21" ht="45" x14ac:dyDescent="0.25">
      <c r="A329" s="93">
        <v>30</v>
      </c>
      <c r="B329" s="79">
        <v>1617500039</v>
      </c>
      <c r="C329" s="127" t="s">
        <v>576</v>
      </c>
      <c r="D329" s="79" t="s">
        <v>577</v>
      </c>
      <c r="E329" s="167">
        <v>53</v>
      </c>
      <c r="F329" s="127" t="s">
        <v>495</v>
      </c>
      <c r="G329" s="197" t="s">
        <v>438</v>
      </c>
      <c r="H329" s="79">
        <v>50000</v>
      </c>
      <c r="I329" s="40">
        <f t="shared" si="41"/>
        <v>50000</v>
      </c>
      <c r="J329" s="127">
        <v>0</v>
      </c>
      <c r="K329" s="127">
        <v>50000</v>
      </c>
      <c r="L329" s="178">
        <v>50000</v>
      </c>
      <c r="M329" s="127">
        <f t="shared" si="42"/>
        <v>0</v>
      </c>
      <c r="N329" s="127">
        <f>M329</f>
        <v>0</v>
      </c>
    </row>
    <row r="330" spans="1:21" ht="105" x14ac:dyDescent="0.25">
      <c r="A330" s="294">
        <v>43</v>
      </c>
      <c r="B330" s="112">
        <v>1617500034</v>
      </c>
      <c r="C330" s="112" t="s">
        <v>567</v>
      </c>
      <c r="D330" s="112" t="s">
        <v>568</v>
      </c>
      <c r="E330" s="380">
        <v>53</v>
      </c>
      <c r="F330" s="204" t="s">
        <v>500</v>
      </c>
      <c r="G330" s="141" t="s">
        <v>438</v>
      </c>
      <c r="H330" s="112">
        <v>500000</v>
      </c>
      <c r="I330" s="116">
        <f t="shared" si="41"/>
        <v>500000</v>
      </c>
      <c r="J330" s="204">
        <v>0</v>
      </c>
      <c r="K330" s="204">
        <v>0</v>
      </c>
      <c r="L330" s="413">
        <v>200000</v>
      </c>
      <c r="M330" s="136">
        <f t="shared" si="42"/>
        <v>300000</v>
      </c>
      <c r="N330" s="136">
        <v>200000</v>
      </c>
      <c r="R330" s="62"/>
      <c r="S330" s="62"/>
      <c r="T330" s="62"/>
      <c r="U330" s="62"/>
    </row>
    <row r="331" spans="1:21" ht="60" x14ac:dyDescent="0.25">
      <c r="A331" s="294">
        <v>44</v>
      </c>
      <c r="B331" s="112">
        <v>1617500035</v>
      </c>
      <c r="C331" s="112" t="s">
        <v>569</v>
      </c>
      <c r="D331" s="112" t="s">
        <v>570</v>
      </c>
      <c r="E331" s="380">
        <v>53</v>
      </c>
      <c r="F331" s="204" t="s">
        <v>495</v>
      </c>
      <c r="G331" s="141" t="s">
        <v>438</v>
      </c>
      <c r="H331" s="112">
        <v>50000</v>
      </c>
      <c r="I331" s="116">
        <f t="shared" si="41"/>
        <v>50000</v>
      </c>
      <c r="J331" s="204">
        <v>0</v>
      </c>
      <c r="K331" s="204">
        <v>0</v>
      </c>
      <c r="L331" s="413">
        <v>50000</v>
      </c>
      <c r="M331" s="136">
        <f t="shared" si="42"/>
        <v>0</v>
      </c>
      <c r="N331" s="136">
        <f>M331</f>
        <v>0</v>
      </c>
      <c r="R331" s="62"/>
      <c r="S331" s="62"/>
      <c r="T331" s="62"/>
      <c r="U331" s="62"/>
    </row>
    <row r="332" spans="1:21" ht="15" x14ac:dyDescent="0.25">
      <c r="A332" s="349"/>
      <c r="B332" s="349"/>
      <c r="C332" s="349"/>
      <c r="D332" s="349" t="s">
        <v>786</v>
      </c>
      <c r="E332" s="153"/>
      <c r="F332" s="349"/>
      <c r="G332" s="349"/>
      <c r="H332" s="349"/>
      <c r="I332" s="349"/>
      <c r="J332" s="349"/>
      <c r="K332" s="349"/>
      <c r="L332" s="413">
        <f>1284715+25378+171332+141718+98663+99000+20450</f>
        <v>1841256</v>
      </c>
      <c r="M332" s="349"/>
      <c r="N332" s="349"/>
      <c r="O332" s="62"/>
      <c r="P332" s="62"/>
      <c r="Q332" s="62"/>
    </row>
    <row r="333" spans="1:21" x14ac:dyDescent="0.25">
      <c r="A333" s="349"/>
      <c r="B333" s="350"/>
      <c r="C333" s="349"/>
      <c r="D333" s="349"/>
      <c r="E333" s="153"/>
      <c r="F333" s="349"/>
      <c r="G333" s="349"/>
      <c r="H333" s="349"/>
      <c r="I333" s="271">
        <f>SUM(I4:I331)</f>
        <v>392211933</v>
      </c>
      <c r="J333" s="349"/>
      <c r="K333" s="349"/>
      <c r="L333" s="349">
        <f>SUM(L4:L332)</f>
        <v>172173872.84999999</v>
      </c>
      <c r="M333" s="349">
        <f>SUM(M4:M332)</f>
        <v>227257149.05000001</v>
      </c>
      <c r="N333" s="349">
        <f>SUM(N4:N329)</f>
        <v>68748794.789999992</v>
      </c>
      <c r="O333" s="62"/>
      <c r="P333" s="62"/>
      <c r="Q333" s="62"/>
    </row>
    <row r="334" spans="1:21" ht="38.25" x14ac:dyDescent="0.25">
      <c r="L334" s="401" t="s">
        <v>897</v>
      </c>
    </row>
    <row r="339" spans="1:21" ht="60" x14ac:dyDescent="0.25">
      <c r="A339" s="9">
        <v>78</v>
      </c>
      <c r="B339" s="107">
        <v>100064</v>
      </c>
      <c r="C339" s="107" t="s">
        <v>64</v>
      </c>
      <c r="D339" s="108" t="s">
        <v>65</v>
      </c>
      <c r="E339" s="379">
        <v>3</v>
      </c>
      <c r="F339" s="109" t="s">
        <v>66</v>
      </c>
      <c r="G339" s="128" t="s">
        <v>23</v>
      </c>
      <c r="H339" s="109">
        <v>185000</v>
      </c>
      <c r="I339" s="148">
        <f t="shared" ref="I339:I359" si="43">H339-J339</f>
        <v>185000</v>
      </c>
      <c r="J339" s="109">
        <v>0</v>
      </c>
      <c r="K339" s="109">
        <v>0</v>
      </c>
      <c r="L339" s="109"/>
      <c r="M339" s="149">
        <f t="shared" ref="M339:M348" si="44">H339-(J339+L339)</f>
        <v>185000</v>
      </c>
      <c r="N339" s="27">
        <v>0</v>
      </c>
      <c r="Q339" s="17">
        <f t="shared" ref="Q339:Q343" si="45">K339-L339</f>
        <v>0</v>
      </c>
    </row>
    <row r="340" spans="1:21" ht="25.5" x14ac:dyDescent="0.25">
      <c r="A340" s="9">
        <v>79</v>
      </c>
      <c r="B340" s="107">
        <v>100066</v>
      </c>
      <c r="C340" s="110" t="s">
        <v>69</v>
      </c>
      <c r="D340" s="111" t="s">
        <v>70</v>
      </c>
      <c r="E340" s="381">
        <v>6</v>
      </c>
      <c r="F340" s="109" t="s">
        <v>66</v>
      </c>
      <c r="G340" s="130" t="s">
        <v>26</v>
      </c>
      <c r="H340" s="109">
        <v>697750</v>
      </c>
      <c r="I340" s="148">
        <f t="shared" si="43"/>
        <v>697750</v>
      </c>
      <c r="J340" s="109"/>
      <c r="K340" s="109"/>
      <c r="L340" s="109"/>
      <c r="M340" s="149">
        <f t="shared" si="44"/>
        <v>697750</v>
      </c>
      <c r="N340" s="27">
        <v>0</v>
      </c>
      <c r="Q340" s="17">
        <f t="shared" si="45"/>
        <v>0</v>
      </c>
    </row>
    <row r="341" spans="1:21" ht="60" x14ac:dyDescent="0.25">
      <c r="A341" s="9">
        <v>82</v>
      </c>
      <c r="B341" s="107">
        <v>1617100043</v>
      </c>
      <c r="C341" s="107" t="s">
        <v>145</v>
      </c>
      <c r="D341" s="140" t="s">
        <v>146</v>
      </c>
      <c r="E341" s="382">
        <v>7</v>
      </c>
      <c r="F341" s="109" t="s">
        <v>66</v>
      </c>
      <c r="G341" s="130" t="s">
        <v>26</v>
      </c>
      <c r="H341" s="141">
        <v>40000</v>
      </c>
      <c r="I341" s="148">
        <f t="shared" si="43"/>
        <v>40000</v>
      </c>
      <c r="J341" s="109">
        <v>0</v>
      </c>
      <c r="K341" s="109">
        <v>0</v>
      </c>
      <c r="L341" s="109"/>
      <c r="M341" s="149">
        <f t="shared" si="44"/>
        <v>40000</v>
      </c>
      <c r="N341" s="115">
        <v>0</v>
      </c>
      <c r="O341" s="118"/>
      <c r="P341" s="118"/>
      <c r="Q341" s="142">
        <f t="shared" si="45"/>
        <v>0</v>
      </c>
      <c r="R341" s="48"/>
      <c r="S341" s="48"/>
      <c r="T341" s="48"/>
      <c r="U341" s="48"/>
    </row>
    <row r="342" spans="1:21" ht="75" x14ac:dyDescent="0.25">
      <c r="A342" s="9">
        <v>83</v>
      </c>
      <c r="B342" s="107">
        <v>1617100047</v>
      </c>
      <c r="C342" s="107" t="s">
        <v>69</v>
      </c>
      <c r="D342" s="140" t="s">
        <v>150</v>
      </c>
      <c r="E342" s="382">
        <v>7</v>
      </c>
      <c r="F342" s="143" t="s">
        <v>66</v>
      </c>
      <c r="G342" s="144" t="s">
        <v>26</v>
      </c>
      <c r="H342" s="143">
        <v>275000</v>
      </c>
      <c r="I342" s="148">
        <f t="shared" si="43"/>
        <v>275000</v>
      </c>
      <c r="J342" s="109">
        <v>0</v>
      </c>
      <c r="K342" s="109">
        <v>0</v>
      </c>
      <c r="L342" s="109"/>
      <c r="M342" s="149">
        <f t="shared" si="44"/>
        <v>275000</v>
      </c>
      <c r="N342" s="115">
        <f>M342/3</f>
        <v>91666.666666666672</v>
      </c>
      <c r="O342" s="118"/>
      <c r="P342" s="118"/>
      <c r="Q342" s="142">
        <f t="shared" si="45"/>
        <v>0</v>
      </c>
      <c r="R342" s="48"/>
      <c r="S342" s="48"/>
      <c r="T342" s="48"/>
      <c r="U342" s="48"/>
    </row>
    <row r="343" spans="1:21" ht="45" x14ac:dyDescent="0.25">
      <c r="A343" s="9">
        <v>84</v>
      </c>
      <c r="B343" s="116">
        <v>1617400072</v>
      </c>
      <c r="C343" s="116" t="s">
        <v>69</v>
      </c>
      <c r="D343" s="116" t="s">
        <v>157</v>
      </c>
      <c r="E343" s="383">
        <v>9</v>
      </c>
      <c r="F343" s="113" t="s">
        <v>66</v>
      </c>
      <c r="G343" s="136" t="s">
        <v>26</v>
      </c>
      <c r="H343" s="117">
        <v>30400</v>
      </c>
      <c r="I343" s="148">
        <f t="shared" si="43"/>
        <v>30400</v>
      </c>
      <c r="J343" s="117">
        <v>0</v>
      </c>
      <c r="K343" s="117">
        <v>0</v>
      </c>
      <c r="L343" s="117"/>
      <c r="M343" s="149">
        <f t="shared" si="44"/>
        <v>30400</v>
      </c>
      <c r="N343" s="27">
        <f>M343</f>
        <v>30400</v>
      </c>
      <c r="O343" s="66"/>
      <c r="P343" s="66"/>
      <c r="Q343" s="17">
        <f t="shared" si="45"/>
        <v>0</v>
      </c>
    </row>
    <row r="344" spans="1:21" ht="45" x14ac:dyDescent="0.25">
      <c r="A344" s="93">
        <v>77</v>
      </c>
      <c r="B344" s="204">
        <v>1617200029</v>
      </c>
      <c r="C344" s="112" t="s">
        <v>329</v>
      </c>
      <c r="D344" s="112" t="s">
        <v>330</v>
      </c>
      <c r="E344" s="380">
        <v>13</v>
      </c>
      <c r="F344" s="204" t="s">
        <v>66</v>
      </c>
      <c r="G344" s="143" t="s">
        <v>204</v>
      </c>
      <c r="H344" s="204">
        <v>8592</v>
      </c>
      <c r="I344" s="214">
        <f t="shared" si="43"/>
        <v>8592</v>
      </c>
      <c r="J344" s="204">
        <v>0</v>
      </c>
      <c r="K344" s="204">
        <v>0</v>
      </c>
      <c r="L344" s="204"/>
      <c r="M344" s="216">
        <f t="shared" si="44"/>
        <v>8592</v>
      </c>
      <c r="N344" s="162">
        <v>0</v>
      </c>
    </row>
    <row r="345" spans="1:21" ht="75" x14ac:dyDescent="0.25">
      <c r="A345" s="93">
        <v>78</v>
      </c>
      <c r="B345" s="204">
        <v>1617200030</v>
      </c>
      <c r="C345" s="204" t="s">
        <v>69</v>
      </c>
      <c r="D345" s="116" t="s">
        <v>331</v>
      </c>
      <c r="E345" s="383">
        <v>13</v>
      </c>
      <c r="F345" s="204" t="s">
        <v>66</v>
      </c>
      <c r="G345" s="143" t="s">
        <v>204</v>
      </c>
      <c r="H345" s="204">
        <v>71600</v>
      </c>
      <c r="I345" s="214">
        <f t="shared" si="43"/>
        <v>71600</v>
      </c>
      <c r="J345" s="204">
        <v>0</v>
      </c>
      <c r="K345" s="204">
        <v>0</v>
      </c>
      <c r="L345" s="204"/>
      <c r="M345" s="216">
        <f t="shared" si="44"/>
        <v>71600</v>
      </c>
      <c r="N345" s="162">
        <v>0</v>
      </c>
    </row>
    <row r="346" spans="1:21" ht="45" x14ac:dyDescent="0.25">
      <c r="A346" s="93">
        <v>81</v>
      </c>
      <c r="B346" s="112">
        <v>1617200038</v>
      </c>
      <c r="C346" s="213" t="s">
        <v>69</v>
      </c>
      <c r="D346" s="112" t="s">
        <v>342</v>
      </c>
      <c r="E346" s="380">
        <v>17</v>
      </c>
      <c r="F346" s="213" t="s">
        <v>66</v>
      </c>
      <c r="G346" s="210" t="s">
        <v>204</v>
      </c>
      <c r="H346" s="213">
        <v>75000</v>
      </c>
      <c r="I346" s="214">
        <f t="shared" si="43"/>
        <v>75000</v>
      </c>
      <c r="J346" s="213">
        <v>0</v>
      </c>
      <c r="K346" s="213">
        <v>0</v>
      </c>
      <c r="L346" s="213"/>
      <c r="M346" s="216">
        <f t="shared" si="44"/>
        <v>75000</v>
      </c>
      <c r="N346" s="162">
        <v>0</v>
      </c>
    </row>
    <row r="347" spans="1:21" ht="90" x14ac:dyDescent="0.25">
      <c r="A347" s="93">
        <v>84</v>
      </c>
      <c r="B347" s="112">
        <v>1617200043</v>
      </c>
      <c r="C347" s="112" t="s">
        <v>350</v>
      </c>
      <c r="D347" s="112" t="s">
        <v>351</v>
      </c>
      <c r="E347" s="380">
        <v>15</v>
      </c>
      <c r="F347" s="204" t="s">
        <v>66</v>
      </c>
      <c r="G347" s="210" t="s">
        <v>204</v>
      </c>
      <c r="H347" s="114">
        <v>497000</v>
      </c>
      <c r="I347" s="214">
        <f t="shared" si="43"/>
        <v>497000</v>
      </c>
      <c r="J347" s="204">
        <v>0</v>
      </c>
      <c r="K347" s="204">
        <v>0</v>
      </c>
      <c r="L347" s="204"/>
      <c r="M347" s="216">
        <f t="shared" si="44"/>
        <v>497000</v>
      </c>
      <c r="N347" s="162">
        <v>0</v>
      </c>
    </row>
    <row r="348" spans="1:21" ht="90" x14ac:dyDescent="0.25">
      <c r="A348" s="93">
        <v>91</v>
      </c>
      <c r="B348" s="204">
        <v>1617200057</v>
      </c>
      <c r="C348" s="116" t="s">
        <v>371</v>
      </c>
      <c r="D348" s="116" t="s">
        <v>372</v>
      </c>
      <c r="E348" s="383">
        <v>15</v>
      </c>
      <c r="F348" s="204" t="s">
        <v>66</v>
      </c>
      <c r="G348" s="210" t="s">
        <v>204</v>
      </c>
      <c r="H348" s="204">
        <v>247500</v>
      </c>
      <c r="I348" s="214">
        <f t="shared" si="43"/>
        <v>247500</v>
      </c>
      <c r="J348" s="204">
        <v>0</v>
      </c>
      <c r="K348" s="204"/>
      <c r="L348" s="204"/>
      <c r="M348" s="216">
        <f t="shared" si="44"/>
        <v>247500</v>
      </c>
      <c r="N348" s="162">
        <f>M348</f>
        <v>247500</v>
      </c>
      <c r="R348" s="62"/>
      <c r="S348" s="62"/>
      <c r="T348" s="62"/>
      <c r="U348" s="62"/>
    </row>
    <row r="349" spans="1:21" ht="90" x14ac:dyDescent="0.25">
      <c r="A349" s="167">
        <v>35</v>
      </c>
      <c r="B349" s="116">
        <v>1617300012</v>
      </c>
      <c r="C349" s="116" t="s">
        <v>454</v>
      </c>
      <c r="D349" s="116" t="s">
        <v>455</v>
      </c>
      <c r="E349" s="384">
        <v>39</v>
      </c>
      <c r="F349" s="136" t="s">
        <v>66</v>
      </c>
      <c r="G349" s="141" t="s">
        <v>456</v>
      </c>
      <c r="H349" s="116">
        <v>4000000</v>
      </c>
      <c r="I349" s="136">
        <f t="shared" si="43"/>
        <v>4000000</v>
      </c>
      <c r="J349" s="136">
        <v>0</v>
      </c>
      <c r="K349" s="275">
        <v>0</v>
      </c>
      <c r="L349" s="136"/>
      <c r="M349" s="136">
        <f t="shared" ref="M349:M354" si="46">H349-(J349+K349)</f>
        <v>4000000</v>
      </c>
      <c r="N349" s="136">
        <v>0</v>
      </c>
      <c r="R349" s="62"/>
      <c r="S349" s="62"/>
      <c r="T349" s="62"/>
      <c r="U349" s="62"/>
    </row>
    <row r="350" spans="1:21" ht="60" x14ac:dyDescent="0.25">
      <c r="A350" s="93">
        <v>36</v>
      </c>
      <c r="B350" s="112">
        <v>1617300015</v>
      </c>
      <c r="C350" s="112" t="s">
        <v>458</v>
      </c>
      <c r="D350" s="112" t="s">
        <v>459</v>
      </c>
      <c r="E350" s="384">
        <v>29</v>
      </c>
      <c r="F350" s="136"/>
      <c r="G350" s="136" t="s">
        <v>18</v>
      </c>
      <c r="H350" s="112">
        <v>400000</v>
      </c>
      <c r="I350" s="136">
        <f t="shared" si="43"/>
        <v>400000</v>
      </c>
      <c r="J350" s="136">
        <v>0</v>
      </c>
      <c r="K350" s="275">
        <v>0</v>
      </c>
      <c r="L350" s="275"/>
      <c r="M350" s="275">
        <f t="shared" si="46"/>
        <v>400000</v>
      </c>
      <c r="N350" s="136">
        <v>0</v>
      </c>
      <c r="R350" s="62"/>
      <c r="S350" s="62"/>
      <c r="T350" s="62"/>
      <c r="U350" s="62"/>
    </row>
    <row r="351" spans="1:21" ht="90" x14ac:dyDescent="0.25">
      <c r="A351" s="93"/>
      <c r="B351" s="112">
        <v>1617400003</v>
      </c>
      <c r="C351" s="112" t="s">
        <v>69</v>
      </c>
      <c r="D351" s="112" t="s">
        <v>661</v>
      </c>
      <c r="E351" s="380">
        <v>34</v>
      </c>
      <c r="F351" s="338" t="s">
        <v>66</v>
      </c>
      <c r="G351" s="116" t="s">
        <v>137</v>
      </c>
      <c r="H351" s="112">
        <v>2858800</v>
      </c>
      <c r="I351" s="345">
        <f t="shared" si="43"/>
        <v>2858800</v>
      </c>
      <c r="J351" s="136"/>
      <c r="K351" s="275"/>
      <c r="L351" s="275"/>
      <c r="M351" s="136">
        <f t="shared" si="46"/>
        <v>2858800</v>
      </c>
      <c r="N351" s="136">
        <v>0</v>
      </c>
      <c r="R351" s="62"/>
      <c r="S351" s="62"/>
      <c r="T351" s="62"/>
      <c r="U351" s="62"/>
    </row>
    <row r="352" spans="1:21" ht="90" x14ac:dyDescent="0.25">
      <c r="A352" s="93">
        <v>43</v>
      </c>
      <c r="B352" s="116">
        <v>1617400019</v>
      </c>
      <c r="C352" s="116" t="s">
        <v>673</v>
      </c>
      <c r="D352" s="116" t="s">
        <v>674</v>
      </c>
      <c r="E352" s="383">
        <v>34</v>
      </c>
      <c r="F352" s="136" t="s">
        <v>66</v>
      </c>
      <c r="G352" s="116" t="s">
        <v>137</v>
      </c>
      <c r="H352" s="136">
        <v>6603828</v>
      </c>
      <c r="I352" s="345">
        <f t="shared" si="43"/>
        <v>6603828</v>
      </c>
      <c r="J352" s="136">
        <v>0</v>
      </c>
      <c r="K352" s="275">
        <v>0</v>
      </c>
      <c r="L352" s="275"/>
      <c r="M352" s="136">
        <f t="shared" si="46"/>
        <v>6603828</v>
      </c>
      <c r="N352" s="136">
        <v>0</v>
      </c>
      <c r="R352" s="62"/>
      <c r="S352" s="62"/>
      <c r="T352" s="62"/>
      <c r="U352" s="62"/>
    </row>
    <row r="353" spans="1:21" ht="90" x14ac:dyDescent="0.25">
      <c r="A353" s="93">
        <v>29</v>
      </c>
      <c r="B353" s="116">
        <v>1617400031</v>
      </c>
      <c r="C353" s="116" t="s">
        <v>69</v>
      </c>
      <c r="D353" s="116" t="s">
        <v>684</v>
      </c>
      <c r="E353" s="383">
        <v>35</v>
      </c>
      <c r="F353" s="136" t="s">
        <v>66</v>
      </c>
      <c r="G353" s="116" t="s">
        <v>137</v>
      </c>
      <c r="H353" s="116">
        <v>68000</v>
      </c>
      <c r="I353" s="345">
        <f t="shared" si="43"/>
        <v>68000</v>
      </c>
      <c r="J353" s="136">
        <v>0</v>
      </c>
      <c r="K353" s="275">
        <v>0</v>
      </c>
      <c r="L353" s="275"/>
      <c r="M353" s="275">
        <f t="shared" si="46"/>
        <v>68000</v>
      </c>
      <c r="N353" s="136">
        <v>0</v>
      </c>
      <c r="R353" s="62"/>
      <c r="S353" s="62"/>
      <c r="T353" s="62"/>
      <c r="U353" s="62"/>
    </row>
    <row r="354" spans="1:21" ht="90" x14ac:dyDescent="0.25">
      <c r="A354" s="93"/>
      <c r="B354" s="112">
        <v>1617400046</v>
      </c>
      <c r="C354" s="112" t="s">
        <v>696</v>
      </c>
      <c r="D354" s="112" t="s">
        <v>697</v>
      </c>
      <c r="E354" s="380">
        <v>36</v>
      </c>
      <c r="F354" s="136" t="s">
        <v>66</v>
      </c>
      <c r="G354" s="116" t="s">
        <v>137</v>
      </c>
      <c r="H354" s="112">
        <v>498575</v>
      </c>
      <c r="I354" s="345">
        <f t="shared" si="43"/>
        <v>498575</v>
      </c>
      <c r="J354" s="136">
        <v>0</v>
      </c>
      <c r="K354" s="136">
        <v>0</v>
      </c>
      <c r="L354" s="136"/>
      <c r="M354" s="136">
        <f t="shared" si="46"/>
        <v>498575</v>
      </c>
      <c r="N354" s="136">
        <v>0</v>
      </c>
      <c r="R354" s="66"/>
      <c r="S354" s="66"/>
      <c r="T354" s="66"/>
      <c r="U354" s="66"/>
    </row>
    <row r="355" spans="1:21" ht="90" x14ac:dyDescent="0.25">
      <c r="A355" s="294">
        <v>38</v>
      </c>
      <c r="B355" s="116">
        <v>1617500015</v>
      </c>
      <c r="C355" s="116" t="s">
        <v>534</v>
      </c>
      <c r="D355" s="116" t="s">
        <v>535</v>
      </c>
      <c r="E355" s="383">
        <v>48</v>
      </c>
      <c r="F355" s="136" t="s">
        <v>536</v>
      </c>
      <c r="G355" s="116" t="s">
        <v>487</v>
      </c>
      <c r="H355" s="116">
        <v>294820</v>
      </c>
      <c r="I355" s="116">
        <f t="shared" si="43"/>
        <v>294820</v>
      </c>
      <c r="J355" s="136">
        <v>0</v>
      </c>
      <c r="K355" s="136">
        <v>0</v>
      </c>
      <c r="L355" s="136"/>
      <c r="M355" s="136">
        <f t="shared" ref="M355:M359" si="47">H355-(J355+L355)</f>
        <v>294820</v>
      </c>
      <c r="N355" s="136"/>
      <c r="R355" s="62"/>
      <c r="S355" s="62"/>
      <c r="T355" s="62"/>
      <c r="U355" s="62"/>
    </row>
    <row r="356" spans="1:21" ht="90" x14ac:dyDescent="0.25">
      <c r="A356" s="294">
        <v>40</v>
      </c>
      <c r="B356" s="116">
        <v>1617500024</v>
      </c>
      <c r="C356" s="116" t="s">
        <v>548</v>
      </c>
      <c r="D356" s="116" t="s">
        <v>549</v>
      </c>
      <c r="E356" s="383">
        <v>49</v>
      </c>
      <c r="F356" s="136" t="s">
        <v>536</v>
      </c>
      <c r="G356" s="116" t="s">
        <v>487</v>
      </c>
      <c r="H356" s="116">
        <v>50000</v>
      </c>
      <c r="I356" s="116">
        <f t="shared" si="43"/>
        <v>50000</v>
      </c>
      <c r="J356" s="136">
        <v>0</v>
      </c>
      <c r="K356" s="136">
        <v>0</v>
      </c>
      <c r="L356" s="136"/>
      <c r="M356" s="136">
        <f t="shared" si="47"/>
        <v>50000</v>
      </c>
      <c r="N356" s="136">
        <f>M356</f>
        <v>50000</v>
      </c>
      <c r="R356" s="62"/>
      <c r="S356" s="62"/>
      <c r="T356" s="62"/>
      <c r="U356" s="62"/>
    </row>
    <row r="357" spans="1:21" ht="90" x14ac:dyDescent="0.25">
      <c r="A357" s="294">
        <v>41</v>
      </c>
      <c r="B357" s="136">
        <v>1617500030</v>
      </c>
      <c r="C357" s="116" t="s">
        <v>558</v>
      </c>
      <c r="D357" s="116" t="s">
        <v>559</v>
      </c>
      <c r="E357" s="383">
        <v>47</v>
      </c>
      <c r="F357" s="136" t="s">
        <v>536</v>
      </c>
      <c r="G357" s="116" t="s">
        <v>487</v>
      </c>
      <c r="H357" s="136">
        <v>100000</v>
      </c>
      <c r="I357" s="116">
        <f t="shared" si="43"/>
        <v>100000</v>
      </c>
      <c r="J357" s="136">
        <v>0</v>
      </c>
      <c r="K357" s="136">
        <v>0</v>
      </c>
      <c r="L357" s="136"/>
      <c r="M357" s="136">
        <f t="shared" si="47"/>
        <v>100000</v>
      </c>
      <c r="N357" s="136">
        <f>M357</f>
        <v>100000</v>
      </c>
      <c r="R357" s="62"/>
      <c r="S357" s="62"/>
      <c r="T357" s="62"/>
      <c r="U357" s="62"/>
    </row>
    <row r="358" spans="1:21" ht="60" x14ac:dyDescent="0.25">
      <c r="A358" s="294">
        <v>39</v>
      </c>
      <c r="B358" s="116">
        <v>1617500019</v>
      </c>
      <c r="C358" s="116" t="s">
        <v>541</v>
      </c>
      <c r="D358" s="116" t="s">
        <v>542</v>
      </c>
      <c r="E358" s="383">
        <v>53</v>
      </c>
      <c r="F358" s="136" t="s">
        <v>536</v>
      </c>
      <c r="G358" s="116" t="s">
        <v>438</v>
      </c>
      <c r="H358" s="116">
        <v>50000</v>
      </c>
      <c r="I358" s="116">
        <f t="shared" si="43"/>
        <v>50000</v>
      </c>
      <c r="J358" s="136">
        <v>0</v>
      </c>
      <c r="K358" s="136">
        <v>0</v>
      </c>
      <c r="L358" s="136"/>
      <c r="M358" s="136">
        <f t="shared" si="47"/>
        <v>50000</v>
      </c>
      <c r="N358" s="136">
        <v>0</v>
      </c>
      <c r="R358" s="62"/>
      <c r="S358" s="62"/>
      <c r="T358" s="62"/>
      <c r="U358" s="62"/>
    </row>
    <row r="359" spans="1:21" ht="75" x14ac:dyDescent="0.25">
      <c r="A359" s="294">
        <v>46</v>
      </c>
      <c r="B359" s="141">
        <v>1617500044</v>
      </c>
      <c r="C359" s="116" t="s">
        <v>582</v>
      </c>
      <c r="D359" s="141" t="s">
        <v>583</v>
      </c>
      <c r="E359" s="294">
        <v>53</v>
      </c>
      <c r="F359" s="136" t="s">
        <v>536</v>
      </c>
      <c r="G359" s="116" t="s">
        <v>438</v>
      </c>
      <c r="H359" s="141">
        <v>100000</v>
      </c>
      <c r="I359" s="116">
        <f t="shared" si="43"/>
        <v>100000</v>
      </c>
      <c r="J359" s="136">
        <v>0</v>
      </c>
      <c r="K359" s="136">
        <v>0</v>
      </c>
      <c r="L359" s="136"/>
      <c r="M359" s="136">
        <f t="shared" si="47"/>
        <v>100000</v>
      </c>
      <c r="N359" s="136">
        <v>0</v>
      </c>
      <c r="R359" s="62"/>
      <c r="S359" s="62"/>
      <c r="T359" s="62"/>
      <c r="U359" s="62"/>
    </row>
    <row r="361" spans="1:21" ht="75" x14ac:dyDescent="0.25">
      <c r="A361" s="15">
        <v>35</v>
      </c>
      <c r="B361" s="67">
        <v>1617100006</v>
      </c>
      <c r="C361" s="67" t="s">
        <v>69</v>
      </c>
      <c r="D361" s="67" t="s">
        <v>90</v>
      </c>
      <c r="F361" s="42" t="s">
        <v>91</v>
      </c>
      <c r="G361" s="67" t="s">
        <v>38</v>
      </c>
      <c r="H361" s="69"/>
      <c r="I361" s="70"/>
      <c r="J361" s="70"/>
      <c r="K361" s="70"/>
      <c r="L361" s="71"/>
      <c r="M361" s="71">
        <v>0</v>
      </c>
    </row>
    <row r="362" spans="1:21" ht="120" x14ac:dyDescent="0.25">
      <c r="A362" s="15">
        <v>46</v>
      </c>
      <c r="B362" s="67">
        <v>1617100019</v>
      </c>
      <c r="C362" s="67" t="s">
        <v>113</v>
      </c>
      <c r="D362" s="67" t="s">
        <v>114</v>
      </c>
      <c r="F362" s="42" t="s">
        <v>91</v>
      </c>
      <c r="G362" s="67" t="s">
        <v>23</v>
      </c>
      <c r="H362" s="69"/>
      <c r="I362" s="70"/>
      <c r="J362" s="70"/>
      <c r="K362" s="70"/>
      <c r="L362" s="70"/>
      <c r="M362" s="71">
        <v>0</v>
      </c>
    </row>
    <row r="363" spans="1:21" ht="105" x14ac:dyDescent="0.25">
      <c r="A363" s="15">
        <v>51</v>
      </c>
      <c r="B363" s="67">
        <v>1617100025</v>
      </c>
      <c r="C363" s="67" t="s">
        <v>122</v>
      </c>
      <c r="D363" s="67" t="s">
        <v>123</v>
      </c>
      <c r="F363" s="42" t="s">
        <v>91</v>
      </c>
      <c r="G363" s="67" t="s">
        <v>26</v>
      </c>
      <c r="H363" s="69"/>
      <c r="I363" s="70"/>
      <c r="J363" s="70"/>
      <c r="K363" s="70"/>
      <c r="L363" s="70"/>
      <c r="M363" s="71">
        <v>0</v>
      </c>
    </row>
    <row r="364" spans="1:21" ht="51" x14ac:dyDescent="0.25">
      <c r="A364" s="94"/>
      <c r="B364" s="79">
        <v>1617100035</v>
      </c>
      <c r="C364" s="67" t="s">
        <v>199</v>
      </c>
      <c r="D364" s="79" t="s">
        <v>200</v>
      </c>
      <c r="F364" s="162" t="s">
        <v>91</v>
      </c>
      <c r="G364" s="162" t="s">
        <v>26</v>
      </c>
      <c r="H364" s="79">
        <v>270500</v>
      </c>
      <c r="I364" s="218">
        <v>0</v>
      </c>
      <c r="J364" s="194">
        <v>0</v>
      </c>
      <c r="K364" s="194"/>
      <c r="L364" s="146" t="e">
        <f>#REF!-K364</f>
        <v>#REF!</v>
      </c>
      <c r="M364"/>
    </row>
    <row r="365" spans="1:21" ht="63.75" x14ac:dyDescent="0.25">
      <c r="A365" s="15">
        <v>64</v>
      </c>
      <c r="B365" s="79">
        <v>1617100045</v>
      </c>
      <c r="C365" s="96" t="s">
        <v>27</v>
      </c>
      <c r="D365" s="96" t="s">
        <v>149</v>
      </c>
      <c r="F365" s="58" t="s">
        <v>91</v>
      </c>
      <c r="G365" s="58" t="s">
        <v>26</v>
      </c>
      <c r="H365" s="76">
        <v>811500</v>
      </c>
      <c r="I365" s="59">
        <v>0</v>
      </c>
      <c r="J365" s="59">
        <v>0</v>
      </c>
      <c r="K365" s="59"/>
      <c r="L365" s="27">
        <f>H365-(I365+J365)</f>
        <v>811500</v>
      </c>
      <c r="M365" s="27">
        <f>L365/3</f>
        <v>270500</v>
      </c>
    </row>
    <row r="366" spans="1:21" ht="45" x14ac:dyDescent="0.25">
      <c r="A366" s="15">
        <v>66</v>
      </c>
      <c r="B366" s="219">
        <v>1617100048</v>
      </c>
      <c r="C366" s="220" t="s">
        <v>151</v>
      </c>
      <c r="D366" s="221" t="s">
        <v>152</v>
      </c>
      <c r="F366" s="58"/>
      <c r="G366" s="50" t="s">
        <v>153</v>
      </c>
      <c r="H366" s="76">
        <v>133000</v>
      </c>
      <c r="I366" s="59">
        <v>0</v>
      </c>
      <c r="J366" s="101">
        <v>0</v>
      </c>
      <c r="K366" s="101"/>
      <c r="L366" s="27">
        <f>H366-(I366+J366)</f>
        <v>133000</v>
      </c>
      <c r="M366" s="104">
        <f>L366/3</f>
        <v>44333.333333333336</v>
      </c>
    </row>
    <row r="367" spans="1:21" ht="45" x14ac:dyDescent="0.25">
      <c r="A367" s="196"/>
      <c r="B367" s="127">
        <v>1617200011</v>
      </c>
      <c r="C367" s="222" t="s">
        <v>297</v>
      </c>
      <c r="D367" s="223" t="s">
        <v>298</v>
      </c>
      <c r="F367" s="162"/>
      <c r="G367" s="61" t="s">
        <v>204</v>
      </c>
      <c r="H367" s="79">
        <v>1122010</v>
      </c>
      <c r="I367" s="162">
        <v>0</v>
      </c>
      <c r="J367" s="162">
        <v>0</v>
      </c>
      <c r="K367" s="162"/>
      <c r="L367" s="162">
        <f>H367-(I367+J367)</f>
        <v>1122010</v>
      </c>
      <c r="M367" s="162">
        <v>0</v>
      </c>
    </row>
    <row r="368" spans="1:21" ht="38.25" x14ac:dyDescent="0.25">
      <c r="A368" s="196">
        <v>67</v>
      </c>
      <c r="B368" s="224">
        <v>1617200017</v>
      </c>
      <c r="C368" s="224" t="s">
        <v>306</v>
      </c>
      <c r="D368" s="224" t="s">
        <v>307</v>
      </c>
      <c r="F368" s="194" t="s">
        <v>91</v>
      </c>
      <c r="G368" s="225" t="s">
        <v>204</v>
      </c>
      <c r="H368" s="226">
        <v>378332</v>
      </c>
      <c r="I368" s="227">
        <v>0</v>
      </c>
      <c r="J368" s="162">
        <v>0</v>
      </c>
      <c r="K368" s="162"/>
      <c r="L368" s="162">
        <f>H368-(I368+J368)</f>
        <v>378332</v>
      </c>
      <c r="M368" s="162">
        <v>0</v>
      </c>
    </row>
    <row r="369" spans="1:13" ht="75" x14ac:dyDescent="0.25">
      <c r="A369" s="196">
        <v>69</v>
      </c>
      <c r="B369" s="67">
        <v>1617200020</v>
      </c>
      <c r="C369" s="67" t="s">
        <v>311</v>
      </c>
      <c r="D369" s="67" t="s">
        <v>312</v>
      </c>
      <c r="F369" s="162" t="s">
        <v>91</v>
      </c>
      <c r="G369" s="228" t="s">
        <v>204</v>
      </c>
      <c r="H369" s="68"/>
      <c r="I369" s="162"/>
      <c r="J369" s="162"/>
      <c r="K369" s="162"/>
      <c r="L369" s="162"/>
      <c r="M369" s="162">
        <f>L369/2</f>
        <v>0</v>
      </c>
    </row>
    <row r="370" spans="1:13" ht="38.25" x14ac:dyDescent="0.25">
      <c r="A370" s="196"/>
      <c r="B370" s="79">
        <v>1617200048</v>
      </c>
      <c r="C370" s="61"/>
      <c r="D370" s="79" t="s">
        <v>357</v>
      </c>
      <c r="F370" s="162" t="s">
        <v>91</v>
      </c>
      <c r="G370" s="61" t="s">
        <v>204</v>
      </c>
      <c r="H370" s="79">
        <v>384900</v>
      </c>
      <c r="I370" s="162">
        <v>0</v>
      </c>
      <c r="J370" s="162">
        <v>0</v>
      </c>
      <c r="K370" s="162"/>
      <c r="L370" s="162">
        <f>H370-(I370+J370)</f>
        <v>384900</v>
      </c>
      <c r="M370" s="162">
        <v>0</v>
      </c>
    </row>
    <row r="371" spans="1:13" ht="90" x14ac:dyDescent="0.25">
      <c r="A371" s="198"/>
      <c r="B371" s="162">
        <v>1617200058</v>
      </c>
      <c r="C371" s="197" t="s">
        <v>69</v>
      </c>
      <c r="D371" s="197" t="s">
        <v>373</v>
      </c>
      <c r="F371" s="162"/>
      <c r="G371" s="96" t="s">
        <v>204</v>
      </c>
      <c r="H371" s="162">
        <v>755000</v>
      </c>
      <c r="I371" s="162">
        <v>0</v>
      </c>
      <c r="J371" s="162"/>
      <c r="K371" s="162"/>
      <c r="L371" s="162"/>
      <c r="M371" s="162">
        <f>L371</f>
        <v>0</v>
      </c>
    </row>
    <row r="372" spans="1:13" ht="45" x14ac:dyDescent="0.25">
      <c r="A372" s="196"/>
      <c r="B372" s="197">
        <v>1617200062</v>
      </c>
      <c r="C372" s="197" t="s">
        <v>69</v>
      </c>
      <c r="D372" s="197" t="s">
        <v>378</v>
      </c>
      <c r="F372" s="132"/>
      <c r="G372" s="61" t="s">
        <v>204</v>
      </c>
      <c r="H372" s="197">
        <v>1200000</v>
      </c>
      <c r="I372" s="159">
        <v>0</v>
      </c>
      <c r="J372" s="79">
        <v>0</v>
      </c>
      <c r="K372" s="79"/>
      <c r="L372" s="162">
        <f>H372-(I372+J372)</f>
        <v>1200000</v>
      </c>
      <c r="M372" s="162">
        <f>L372</f>
        <v>1200000</v>
      </c>
    </row>
    <row r="373" spans="1:13" ht="45" x14ac:dyDescent="0.25">
      <c r="A373" s="205">
        <v>49</v>
      </c>
      <c r="B373" s="40">
        <v>1617300017</v>
      </c>
      <c r="C373" s="234" t="s">
        <v>387</v>
      </c>
      <c r="D373" s="40" t="s">
        <v>388</v>
      </c>
      <c r="F373" s="131" t="s">
        <v>66</v>
      </c>
      <c r="G373" s="151"/>
      <c r="H373" s="23">
        <v>2364877</v>
      </c>
      <c r="I373" s="23">
        <v>0</v>
      </c>
      <c r="J373" s="24">
        <v>0</v>
      </c>
      <c r="K373" s="24"/>
      <c r="L373" s="24">
        <f>H373-(I373+J373)</f>
        <v>2364877</v>
      </c>
      <c r="M373" s="233"/>
    </row>
    <row r="374" spans="1:13" ht="75" x14ac:dyDescent="0.25">
      <c r="A374" s="248">
        <v>34</v>
      </c>
      <c r="B374" s="276">
        <v>1617300011</v>
      </c>
      <c r="C374" s="116" t="s">
        <v>451</v>
      </c>
      <c r="D374" s="116" t="s">
        <v>452</v>
      </c>
      <c r="F374" s="136" t="s">
        <v>453</v>
      </c>
      <c r="G374" s="116" t="s">
        <v>107</v>
      </c>
      <c r="H374" s="116">
        <v>1593516</v>
      </c>
      <c r="I374" s="131">
        <f>H374-J374</f>
        <v>1593516</v>
      </c>
      <c r="J374" s="136">
        <v>0</v>
      </c>
      <c r="K374" s="275">
        <v>0</v>
      </c>
      <c r="L374" s="277"/>
      <c r="M374" s="277">
        <f>H374-(J374+K374)</f>
        <v>1593516</v>
      </c>
    </row>
    <row r="375" spans="1:13" ht="60" x14ac:dyDescent="0.25">
      <c r="A375" s="235">
        <v>42</v>
      </c>
      <c r="B375" s="236">
        <v>1617300018</v>
      </c>
      <c r="C375" s="236" t="s">
        <v>389</v>
      </c>
      <c r="D375" s="236" t="s">
        <v>390</v>
      </c>
      <c r="F375" s="236">
        <v>60000000</v>
      </c>
      <c r="G375" s="131">
        <v>0</v>
      </c>
      <c r="H375" s="127"/>
      <c r="I375" s="127"/>
      <c r="J375" s="72">
        <f>F375-(G375+I375)</f>
        <v>60000000</v>
      </c>
      <c r="K375" s="131" t="s">
        <v>91</v>
      </c>
      <c r="L375" s="151"/>
      <c r="M375" s="233"/>
    </row>
    <row r="376" spans="1:13" ht="60" x14ac:dyDescent="0.25">
      <c r="A376" s="237"/>
      <c r="B376" s="238">
        <v>1617300023</v>
      </c>
      <c r="C376" s="239" t="s">
        <v>69</v>
      </c>
      <c r="D376" s="240" t="s">
        <v>391</v>
      </c>
      <c r="F376" s="241">
        <v>2310637</v>
      </c>
      <c r="G376" s="241">
        <v>0</v>
      </c>
      <c r="H376" s="241">
        <v>0</v>
      </c>
      <c r="I376" s="241"/>
      <c r="J376" s="241">
        <f>F376-(G376+I376)</f>
        <v>2310637</v>
      </c>
      <c r="K376" s="241" t="s">
        <v>91</v>
      </c>
      <c r="L376"/>
      <c r="M376"/>
    </row>
    <row r="377" spans="1:13" ht="90" x14ac:dyDescent="0.25">
      <c r="A377" s="72"/>
      <c r="B377" s="243">
        <v>1617300025</v>
      </c>
      <c r="C377" s="239" t="s">
        <v>394</v>
      </c>
      <c r="D377" s="244" t="s">
        <v>395</v>
      </c>
      <c r="F377" s="241">
        <v>57500</v>
      </c>
      <c r="G377" s="241">
        <v>0</v>
      </c>
      <c r="H377" s="241">
        <v>0</v>
      </c>
      <c r="I377" s="241"/>
      <c r="J377" s="241">
        <f>F377-(G377+I377)</f>
        <v>57500</v>
      </c>
      <c r="K377" s="241" t="s">
        <v>91</v>
      </c>
      <c r="L377"/>
      <c r="M377"/>
    </row>
    <row r="378" spans="1:13" ht="60" x14ac:dyDescent="0.25">
      <c r="A378" s="245">
        <v>39</v>
      </c>
      <c r="B378" s="243">
        <v>1617300027</v>
      </c>
      <c r="C378" s="274" t="s">
        <v>466</v>
      </c>
      <c r="D378" s="274" t="s">
        <v>467</v>
      </c>
      <c r="F378" s="242" t="s">
        <v>91</v>
      </c>
      <c r="G378" s="274" t="s">
        <v>18</v>
      </c>
      <c r="H378" s="246"/>
      <c r="I378" s="131">
        <f>H378-J378</f>
        <v>0</v>
      </c>
      <c r="J378" s="246"/>
      <c r="K378" s="267"/>
      <c r="L378" s="278"/>
      <c r="M378" s="278"/>
    </row>
    <row r="379" spans="1:13" ht="105" x14ac:dyDescent="0.25">
      <c r="A379" s="291">
        <v>12</v>
      </c>
      <c r="B379" s="312">
        <v>400074</v>
      </c>
      <c r="C379" s="316" t="s">
        <v>642</v>
      </c>
      <c r="D379" s="299" t="s">
        <v>643</v>
      </c>
      <c r="F379" s="40" t="s">
        <v>137</v>
      </c>
      <c r="G379" s="300">
        <v>1800000</v>
      </c>
      <c r="H379" s="301"/>
      <c r="I379" s="302"/>
      <c r="J379" s="302"/>
      <c r="K379" s="301">
        <v>0</v>
      </c>
      <c r="L379" s="127">
        <f>K379</f>
        <v>0</v>
      </c>
      <c r="M379" s="301"/>
    </row>
    <row r="380" spans="1:13" ht="90" x14ac:dyDescent="0.25">
      <c r="A380" s="291"/>
      <c r="B380" s="65">
        <v>1617400034</v>
      </c>
      <c r="C380" s="313" t="s">
        <v>685</v>
      </c>
      <c r="D380" s="322" t="s">
        <v>686</v>
      </c>
      <c r="F380" s="40" t="s">
        <v>18</v>
      </c>
      <c r="G380" s="323">
        <v>88600</v>
      </c>
      <c r="H380" s="127">
        <v>0</v>
      </c>
      <c r="I380" s="296">
        <v>0</v>
      </c>
      <c r="J380" s="296"/>
      <c r="K380" s="127">
        <f>G380-(H380+I380)</f>
        <v>88600</v>
      </c>
      <c r="L380" s="127">
        <v>0</v>
      </c>
      <c r="M380" s="127" t="s">
        <v>66</v>
      </c>
    </row>
    <row r="381" spans="1:13" ht="105" x14ac:dyDescent="0.25">
      <c r="A381" s="291">
        <v>36</v>
      </c>
      <c r="B381" s="40">
        <v>1617400036</v>
      </c>
      <c r="C381" s="317" t="s">
        <v>69</v>
      </c>
      <c r="D381" s="298" t="s">
        <v>687</v>
      </c>
      <c r="F381" s="40" t="s">
        <v>137</v>
      </c>
      <c r="G381" s="304"/>
      <c r="H381" s="246"/>
      <c r="I381" s="305"/>
      <c r="J381" s="305"/>
      <c r="K381" s="246"/>
      <c r="L381" s="246"/>
      <c r="M381" s="131" t="s">
        <v>91</v>
      </c>
    </row>
    <row r="382" spans="1:13" ht="90" x14ac:dyDescent="0.25">
      <c r="A382" s="291">
        <v>37</v>
      </c>
      <c r="B382" s="40">
        <v>1617400039</v>
      </c>
      <c r="C382" s="317" t="s">
        <v>690</v>
      </c>
      <c r="D382" s="298" t="s">
        <v>691</v>
      </c>
      <c r="F382" s="40" t="s">
        <v>18</v>
      </c>
      <c r="G382" s="304"/>
      <c r="H382" s="246"/>
      <c r="I382" s="305"/>
      <c r="J382" s="305"/>
      <c r="K382" s="246"/>
      <c r="L382" s="246"/>
      <c r="M382" s="131" t="s">
        <v>91</v>
      </c>
    </row>
    <row r="383" spans="1:13" ht="120" x14ac:dyDescent="0.25">
      <c r="A383" s="291"/>
      <c r="B383" s="65">
        <v>1617400048</v>
      </c>
      <c r="C383" s="319" t="s">
        <v>698</v>
      </c>
      <c r="D383" s="322" t="s">
        <v>699</v>
      </c>
      <c r="F383" s="40" t="s">
        <v>456</v>
      </c>
      <c r="G383" s="323">
        <v>405000</v>
      </c>
      <c r="H383" s="131">
        <v>0</v>
      </c>
      <c r="I383" s="306">
        <v>0</v>
      </c>
      <c r="J383" s="306"/>
      <c r="K383" s="127">
        <f>G383-(H383+I383)</f>
        <v>405000</v>
      </c>
      <c r="L383" s="127">
        <v>0</v>
      </c>
      <c r="M383" s="127"/>
    </row>
    <row r="384" spans="1:13" ht="105" x14ac:dyDescent="0.25">
      <c r="A384" s="311"/>
      <c r="B384" s="67">
        <v>1617400086</v>
      </c>
      <c r="C384" s="65" t="s">
        <v>704</v>
      </c>
      <c r="D384" s="65" t="s">
        <v>705</v>
      </c>
      <c r="F384" s="266" t="s">
        <v>706</v>
      </c>
      <c r="G384" s="65">
        <v>2087000</v>
      </c>
      <c r="H384" s="127"/>
      <c r="I384" s="272"/>
      <c r="J384" s="272"/>
      <c r="K384" s="127"/>
      <c r="L384" s="127">
        <f t="shared" ref="L384:L392" si="48">K384</f>
        <v>0</v>
      </c>
      <c r="M384" s="295"/>
    </row>
    <row r="385" spans="1:13" ht="105" x14ac:dyDescent="0.25">
      <c r="A385" s="291"/>
      <c r="B385" s="40">
        <v>1617400063</v>
      </c>
      <c r="C385" s="317" t="s">
        <v>713</v>
      </c>
      <c r="D385" s="298" t="s">
        <v>714</v>
      </c>
      <c r="F385" s="40" t="s">
        <v>137</v>
      </c>
      <c r="G385" s="303">
        <v>400000</v>
      </c>
      <c r="H385" s="131"/>
      <c r="I385" s="296"/>
      <c r="J385" s="296"/>
      <c r="K385" s="127"/>
      <c r="L385" s="127">
        <f t="shared" si="48"/>
        <v>0</v>
      </c>
      <c r="M385" s="131"/>
    </row>
    <row r="386" spans="1:13" ht="105" x14ac:dyDescent="0.25">
      <c r="A386" s="291"/>
      <c r="B386" s="40">
        <v>1617400066</v>
      </c>
      <c r="C386" s="317" t="s">
        <v>69</v>
      </c>
      <c r="D386" s="298" t="s">
        <v>716</v>
      </c>
      <c r="F386" s="40" t="s">
        <v>137</v>
      </c>
      <c r="G386" s="303">
        <v>498000</v>
      </c>
      <c r="H386" s="131"/>
      <c r="I386" s="296"/>
      <c r="J386" s="296"/>
      <c r="K386" s="127"/>
      <c r="L386" s="127">
        <f t="shared" si="48"/>
        <v>0</v>
      </c>
      <c r="M386" s="131"/>
    </row>
    <row r="387" spans="1:13" ht="90" x14ac:dyDescent="0.25">
      <c r="A387" s="291"/>
      <c r="B387" s="40">
        <v>1617400068</v>
      </c>
      <c r="C387" s="400" t="s">
        <v>69</v>
      </c>
      <c r="D387" s="298" t="s">
        <v>717</v>
      </c>
      <c r="F387" s="40" t="s">
        <v>18</v>
      </c>
      <c r="G387" s="304">
        <v>1</v>
      </c>
      <c r="H387" s="131"/>
      <c r="I387" s="296"/>
      <c r="J387" s="296"/>
      <c r="K387" s="127"/>
      <c r="L387" s="127">
        <f t="shared" si="48"/>
        <v>0</v>
      </c>
      <c r="M387" s="131"/>
    </row>
    <row r="388" spans="1:13" ht="105" x14ac:dyDescent="0.25">
      <c r="A388" s="291"/>
      <c r="B388" s="274">
        <v>1617400069</v>
      </c>
      <c r="C388" s="315" t="s">
        <v>718</v>
      </c>
      <c r="D388" s="321" t="s">
        <v>719</v>
      </c>
      <c r="F388" s="40" t="s">
        <v>614</v>
      </c>
      <c r="G388" s="304">
        <v>1</v>
      </c>
      <c r="H388" s="131"/>
      <c r="I388" s="296"/>
      <c r="J388" s="296"/>
      <c r="K388" s="127"/>
      <c r="L388" s="127">
        <f t="shared" si="48"/>
        <v>0</v>
      </c>
      <c r="M388" s="131"/>
    </row>
    <row r="389" spans="1:13" ht="105" x14ac:dyDescent="0.25">
      <c r="A389" s="291"/>
      <c r="B389" s="274">
        <v>1617400071</v>
      </c>
      <c r="C389" s="315" t="s">
        <v>720</v>
      </c>
      <c r="D389" s="321" t="s">
        <v>721</v>
      </c>
      <c r="F389" s="40" t="s">
        <v>137</v>
      </c>
      <c r="G389" s="304">
        <v>1</v>
      </c>
      <c r="H389" s="131"/>
      <c r="I389" s="296"/>
      <c r="J389" s="296"/>
      <c r="K389" s="127"/>
      <c r="L389" s="127">
        <f t="shared" si="48"/>
        <v>0</v>
      </c>
      <c r="M389" s="131"/>
    </row>
    <row r="390" spans="1:13" ht="75" x14ac:dyDescent="0.25">
      <c r="A390" s="291"/>
      <c r="B390" s="274">
        <v>1617400073</v>
      </c>
      <c r="C390" s="314" t="s">
        <v>69</v>
      </c>
      <c r="D390" s="321" t="s">
        <v>722</v>
      </c>
      <c r="F390" s="40" t="s">
        <v>614</v>
      </c>
      <c r="G390" s="304">
        <v>1</v>
      </c>
      <c r="H390" s="131"/>
      <c r="I390" s="296"/>
      <c r="J390" s="296"/>
      <c r="K390" s="127"/>
      <c r="L390" s="127">
        <f t="shared" si="48"/>
        <v>0</v>
      </c>
      <c r="M390" s="131"/>
    </row>
    <row r="391" spans="1:13" ht="90" x14ac:dyDescent="0.25">
      <c r="A391" s="291"/>
      <c r="B391" s="274">
        <v>1617400076</v>
      </c>
      <c r="C391" s="314" t="s">
        <v>466</v>
      </c>
      <c r="D391" s="321" t="s">
        <v>723</v>
      </c>
      <c r="F391" s="40" t="s">
        <v>18</v>
      </c>
      <c r="G391" s="304">
        <v>1</v>
      </c>
      <c r="H391" s="131"/>
      <c r="I391" s="296"/>
      <c r="J391" s="296"/>
      <c r="K391" s="127"/>
      <c r="L391" s="127">
        <f t="shared" si="48"/>
        <v>0</v>
      </c>
      <c r="M391" s="131"/>
    </row>
    <row r="392" spans="1:13" ht="105" x14ac:dyDescent="0.25">
      <c r="A392" s="291"/>
      <c r="B392" s="274">
        <v>1617400077</v>
      </c>
      <c r="C392" s="314" t="s">
        <v>724</v>
      </c>
      <c r="D392" s="321" t="s">
        <v>725</v>
      </c>
      <c r="F392" s="40" t="s">
        <v>137</v>
      </c>
      <c r="G392" s="304">
        <v>1</v>
      </c>
      <c r="H392" s="131"/>
      <c r="I392" s="296"/>
      <c r="J392" s="296"/>
      <c r="K392" s="127"/>
      <c r="L392" s="127">
        <f t="shared" si="48"/>
        <v>0</v>
      </c>
      <c r="M392" s="131"/>
    </row>
    <row r="393" spans="1:13" ht="30" x14ac:dyDescent="0.25">
      <c r="A393" s="196"/>
      <c r="B393" s="65">
        <v>1617500002</v>
      </c>
      <c r="C393" s="65" t="s">
        <v>515</v>
      </c>
      <c r="D393" s="65" t="s">
        <v>516</v>
      </c>
      <c r="F393" s="151" t="s">
        <v>438</v>
      </c>
      <c r="G393" s="200">
        <v>0</v>
      </c>
      <c r="H393" s="282">
        <v>0</v>
      </c>
      <c r="I393" s="293">
        <v>0</v>
      </c>
      <c r="J393" s="283"/>
      <c r="K393" s="40">
        <v>0</v>
      </c>
      <c r="L393" s="127">
        <v>0</v>
      </c>
      <c r="M393" s="285"/>
    </row>
    <row r="394" spans="1:13" ht="45" x14ac:dyDescent="0.25">
      <c r="A394" s="196"/>
      <c r="B394" s="65">
        <v>1617500009</v>
      </c>
      <c r="C394" s="65" t="s">
        <v>525</v>
      </c>
      <c r="D394" s="65" t="s">
        <v>526</v>
      </c>
      <c r="F394" s="131" t="s">
        <v>487</v>
      </c>
      <c r="G394" s="200"/>
      <c r="H394" s="131"/>
      <c r="I394" s="127"/>
      <c r="J394" s="127"/>
      <c r="K394" s="158"/>
      <c r="L394" s="127">
        <f>K394</f>
        <v>0</v>
      </c>
      <c r="M394" s="131"/>
    </row>
    <row r="395" spans="1:13" ht="120" x14ac:dyDescent="0.25">
      <c r="A395" s="196">
        <v>33</v>
      </c>
      <c r="B395" s="274">
        <v>1617500013</v>
      </c>
      <c r="C395" s="274" t="s">
        <v>532</v>
      </c>
      <c r="D395" s="274" t="s">
        <v>533</v>
      </c>
      <c r="F395" s="197" t="s">
        <v>487</v>
      </c>
      <c r="G395" s="274"/>
      <c r="H395" s="131"/>
      <c r="I395" s="158"/>
      <c r="J395" s="158"/>
      <c r="K395" s="158"/>
      <c r="L395" s="127"/>
      <c r="M395" s="285" t="s">
        <v>91</v>
      </c>
    </row>
    <row r="396" spans="1:13" ht="75" x14ac:dyDescent="0.25">
      <c r="A396" s="196">
        <v>38</v>
      </c>
      <c r="B396" s="274">
        <v>1617500027</v>
      </c>
      <c r="C396" s="274" t="s">
        <v>554</v>
      </c>
      <c r="D396" s="274" t="s">
        <v>555</v>
      </c>
      <c r="F396" s="197" t="s">
        <v>438</v>
      </c>
      <c r="G396" s="274">
        <v>477600</v>
      </c>
      <c r="H396" s="131">
        <v>0</v>
      </c>
      <c r="I396" s="127"/>
      <c r="J396" s="127"/>
      <c r="K396" s="158">
        <f>G396-(H396+I396)</f>
        <v>477600</v>
      </c>
      <c r="L396" s="127">
        <f t="shared" ref="L396:L399" si="49">K396</f>
        <v>477600</v>
      </c>
      <c r="M396" s="131"/>
    </row>
    <row r="397" spans="1:13" ht="120" x14ac:dyDescent="0.25">
      <c r="A397" s="196"/>
      <c r="B397" s="79">
        <v>1617500033</v>
      </c>
      <c r="C397" s="233" t="s">
        <v>565</v>
      </c>
      <c r="D397" s="48" t="s">
        <v>566</v>
      </c>
      <c r="F397" s="197" t="s">
        <v>487</v>
      </c>
      <c r="G397" s="81">
        <v>0</v>
      </c>
      <c r="H397" s="246">
        <v>0</v>
      </c>
      <c r="I397" s="246">
        <v>0</v>
      </c>
      <c r="J397" s="246"/>
      <c r="K397" s="246"/>
      <c r="L397" s="246">
        <f t="shared" si="49"/>
        <v>0</v>
      </c>
      <c r="M397" s="127"/>
    </row>
    <row r="398" spans="1:13" ht="75" x14ac:dyDescent="0.25">
      <c r="A398" s="196"/>
      <c r="B398" s="243">
        <v>1617500043</v>
      </c>
      <c r="C398" s="274" t="s">
        <v>580</v>
      </c>
      <c r="D398" s="243" t="s">
        <v>581</v>
      </c>
      <c r="F398" s="274" t="s">
        <v>438</v>
      </c>
      <c r="G398" s="243">
        <v>300000</v>
      </c>
      <c r="H398" s="242">
        <v>0</v>
      </c>
      <c r="I398" s="242">
        <v>0</v>
      </c>
      <c r="J398" s="242"/>
      <c r="K398" s="127">
        <f>G398-(H398+I398)</f>
        <v>300000</v>
      </c>
      <c r="L398" s="127">
        <f t="shared" si="49"/>
        <v>300000</v>
      </c>
      <c r="M398" s="242" t="s">
        <v>91</v>
      </c>
    </row>
    <row r="399" spans="1:13" ht="120" x14ac:dyDescent="0.25">
      <c r="A399" s="196"/>
      <c r="B399" s="243">
        <v>1617500045</v>
      </c>
      <c r="C399" s="243" t="s">
        <v>584</v>
      </c>
      <c r="D399" s="274" t="s">
        <v>585</v>
      </c>
      <c r="F399" s="274" t="s">
        <v>487</v>
      </c>
      <c r="G399" s="243">
        <v>25000</v>
      </c>
      <c r="H399" s="242">
        <v>0</v>
      </c>
      <c r="I399" s="242">
        <v>0</v>
      </c>
      <c r="J399" s="242"/>
      <c r="K399" s="127">
        <f>G399-(H399+I399)</f>
        <v>25000</v>
      </c>
      <c r="L399" s="127">
        <f t="shared" si="49"/>
        <v>25000</v>
      </c>
      <c r="M399" s="242" t="s">
        <v>91</v>
      </c>
    </row>
  </sheetData>
  <autoFilter ref="A3:Q334"/>
  <conditionalFormatting sqref="B81:B82">
    <cfRule type="duplicateValues" dxfId="14" priority="16"/>
  </conditionalFormatting>
  <conditionalFormatting sqref="B83:B84">
    <cfRule type="duplicateValues" dxfId="13" priority="15"/>
  </conditionalFormatting>
  <conditionalFormatting sqref="B85">
    <cfRule type="duplicateValues" dxfId="12" priority="14"/>
  </conditionalFormatting>
  <conditionalFormatting sqref="B180:B183">
    <cfRule type="duplicateValues" dxfId="11" priority="13"/>
  </conditionalFormatting>
  <conditionalFormatting sqref="B184">
    <cfRule type="duplicateValues" dxfId="10" priority="12"/>
  </conditionalFormatting>
  <conditionalFormatting sqref="B185">
    <cfRule type="duplicateValues" dxfId="9" priority="11"/>
  </conditionalFormatting>
  <conditionalFormatting sqref="B179 B184:B185">
    <cfRule type="duplicateValues" dxfId="8" priority="10"/>
  </conditionalFormatting>
  <conditionalFormatting sqref="B254">
    <cfRule type="duplicateValues" dxfId="7" priority="9"/>
  </conditionalFormatting>
  <conditionalFormatting sqref="B307:B308">
    <cfRule type="duplicateValues" dxfId="6" priority="8"/>
  </conditionalFormatting>
  <conditionalFormatting sqref="B306">
    <cfRule type="duplicateValues" dxfId="5" priority="7"/>
  </conditionalFormatting>
  <conditionalFormatting sqref="B309">
    <cfRule type="duplicateValues" dxfId="4" priority="6"/>
  </conditionalFormatting>
  <conditionalFormatting sqref="B311">
    <cfRule type="duplicateValues" dxfId="3" priority="5"/>
  </conditionalFormatting>
  <conditionalFormatting sqref="B182">
    <cfRule type="duplicateValues" dxfId="2" priority="4"/>
  </conditionalFormatting>
  <conditionalFormatting sqref="B364">
    <cfRule type="duplicateValues" dxfId="1" priority="2"/>
  </conditionalFormatting>
  <conditionalFormatting sqref="B377 B216">
    <cfRule type="duplicateValues" dxfId="0" priority="32"/>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topLeftCell="A67" workbookViewId="0">
      <selection activeCell="C11" sqref="C11"/>
    </sheetView>
  </sheetViews>
  <sheetFormatPr defaultRowHeight="15" x14ac:dyDescent="0.25"/>
  <cols>
    <col min="2" max="2" width="52.5703125" style="391" customWidth="1"/>
    <col min="3" max="3" width="17.7109375" customWidth="1"/>
    <col min="4" max="4" width="14.140625" style="95" customWidth="1"/>
    <col min="5" max="5" width="13.5703125" customWidth="1"/>
    <col min="6" max="6" width="17.42578125" customWidth="1"/>
  </cols>
  <sheetData>
    <row r="1" spans="2:6" x14ac:dyDescent="0.25">
      <c r="C1" t="s">
        <v>793</v>
      </c>
      <c r="D1" s="95" t="s">
        <v>794</v>
      </c>
      <c r="E1" t="s">
        <v>795</v>
      </c>
      <c r="F1" t="s">
        <v>792</v>
      </c>
    </row>
    <row r="2" spans="2:6" x14ac:dyDescent="0.25">
      <c r="B2" t="s">
        <v>788</v>
      </c>
      <c r="C2">
        <v>2027.67</v>
      </c>
      <c r="D2" s="95">
        <v>177.1</v>
      </c>
      <c r="E2" s="393">
        <f>350+33</f>
        <v>383</v>
      </c>
      <c r="F2">
        <v>483.87</v>
      </c>
    </row>
    <row r="3" spans="2:6" x14ac:dyDescent="0.25">
      <c r="B3" t="s">
        <v>59</v>
      </c>
      <c r="C3">
        <v>40.32</v>
      </c>
      <c r="D3" s="95">
        <v>32.26</v>
      </c>
      <c r="E3" s="393">
        <v>8.06</v>
      </c>
      <c r="F3" s="393">
        <v>8.06</v>
      </c>
    </row>
    <row r="4" spans="2:6" x14ac:dyDescent="0.25">
      <c r="B4" t="s">
        <v>757</v>
      </c>
      <c r="C4">
        <v>45.09</v>
      </c>
      <c r="D4" s="95">
        <v>32.65</v>
      </c>
      <c r="E4" s="393">
        <v>12.44</v>
      </c>
      <c r="F4" s="393">
        <v>12.44</v>
      </c>
    </row>
    <row r="5" spans="2:6" x14ac:dyDescent="0.25">
      <c r="B5" t="s">
        <v>758</v>
      </c>
      <c r="C5">
        <v>104.44</v>
      </c>
      <c r="D5" s="95">
        <v>61.9</v>
      </c>
      <c r="E5" s="393">
        <v>15.76</v>
      </c>
      <c r="F5" s="393">
        <v>25.76</v>
      </c>
    </row>
    <row r="6" spans="2:6" x14ac:dyDescent="0.25">
      <c r="B6" t="s">
        <v>759</v>
      </c>
      <c r="C6">
        <v>9.02</v>
      </c>
      <c r="D6" s="95">
        <v>6</v>
      </c>
      <c r="E6" s="393">
        <v>3.02</v>
      </c>
      <c r="F6" s="393">
        <v>3.02</v>
      </c>
    </row>
    <row r="7" spans="2:6" x14ac:dyDescent="0.25">
      <c r="B7" t="s">
        <v>789</v>
      </c>
      <c r="C7">
        <v>87.07</v>
      </c>
      <c r="D7" s="95">
        <v>66.7</v>
      </c>
      <c r="E7" s="393">
        <v>20.399999999999999</v>
      </c>
      <c r="F7" s="393">
        <v>31.1</v>
      </c>
    </row>
    <row r="8" spans="2:6" x14ac:dyDescent="0.25">
      <c r="B8" t="s">
        <v>790</v>
      </c>
      <c r="C8">
        <v>29.79</v>
      </c>
      <c r="D8" s="95">
        <v>14.8</v>
      </c>
      <c r="E8" s="393">
        <v>13.09</v>
      </c>
      <c r="F8" s="393">
        <v>13.09</v>
      </c>
    </row>
    <row r="9" spans="2:6" x14ac:dyDescent="0.25">
      <c r="B9" t="s">
        <v>791</v>
      </c>
      <c r="C9">
        <v>226.19</v>
      </c>
      <c r="D9" s="95">
        <v>115</v>
      </c>
      <c r="E9" s="393">
        <f>20+20+5</f>
        <v>45</v>
      </c>
      <c r="F9" s="393">
        <v>55.01</v>
      </c>
    </row>
    <row r="10" spans="2:6" x14ac:dyDescent="0.25">
      <c r="B10" t="s">
        <v>785</v>
      </c>
      <c r="C10">
        <v>61.87</v>
      </c>
      <c r="D10" s="95">
        <v>51.3</v>
      </c>
      <c r="E10" s="393">
        <v>10.58</v>
      </c>
      <c r="F10" s="393">
        <v>10.58</v>
      </c>
    </row>
    <row r="11" spans="2:6" x14ac:dyDescent="0.25">
      <c r="B11" t="s">
        <v>652</v>
      </c>
      <c r="C11">
        <v>61</v>
      </c>
      <c r="D11" s="95">
        <v>40.799999999999997</v>
      </c>
      <c r="E11" s="393">
        <v>20.260000000000002</v>
      </c>
      <c r="F11" s="393">
        <v>20.260000000000002</v>
      </c>
    </row>
    <row r="12" spans="2:6" x14ac:dyDescent="0.25">
      <c r="B12" t="s">
        <v>796</v>
      </c>
      <c r="C12">
        <v>15.6</v>
      </c>
      <c r="D12" s="95">
        <v>0</v>
      </c>
      <c r="E12" s="393">
        <v>15.6</v>
      </c>
      <c r="F12" s="393"/>
    </row>
    <row r="13" spans="2:6" x14ac:dyDescent="0.25">
      <c r="B13" t="s">
        <v>739</v>
      </c>
      <c r="E13" s="393">
        <v>53</v>
      </c>
      <c r="F13" s="393"/>
    </row>
    <row r="14" spans="2:6" x14ac:dyDescent="0.25">
      <c r="B14"/>
      <c r="C14" s="392">
        <f>SUM(C2:C12)</f>
        <v>2708.0600000000004</v>
      </c>
      <c r="D14" s="395">
        <f>SUM(D2:D12)</f>
        <v>598.50999999999988</v>
      </c>
      <c r="E14" s="394">
        <f>SUM(E2:E13)</f>
        <v>600.20999999999992</v>
      </c>
      <c r="F14" s="392">
        <f t="shared" ref="F14" si="0">SUM(F2:F11)</f>
        <v>663.19</v>
      </c>
    </row>
    <row r="15" spans="2:6" x14ac:dyDescent="0.25">
      <c r="C15" s="392"/>
      <c r="D15" s="395"/>
      <c r="F15" s="392"/>
    </row>
    <row r="18" spans="1:5" x14ac:dyDescent="0.25">
      <c r="E18" s="393"/>
    </row>
    <row r="19" spans="1:5" x14ac:dyDescent="0.25">
      <c r="A19" s="397"/>
      <c r="B19" s="72" t="s">
        <v>797</v>
      </c>
      <c r="C19" s="396" t="s">
        <v>798</v>
      </c>
      <c r="D19" s="72" t="s">
        <v>799</v>
      </c>
      <c r="E19" s="72" t="s">
        <v>800</v>
      </c>
    </row>
    <row r="20" spans="1:5" x14ac:dyDescent="0.25">
      <c r="A20" s="397">
        <v>1</v>
      </c>
      <c r="B20" s="72" t="s">
        <v>780</v>
      </c>
      <c r="C20" s="396">
        <v>128</v>
      </c>
      <c r="D20" s="72">
        <v>1256500</v>
      </c>
      <c r="E20" s="72">
        <v>8.5</v>
      </c>
    </row>
    <row r="21" spans="1:5" x14ac:dyDescent="0.25">
      <c r="A21" s="397">
        <v>2</v>
      </c>
      <c r="B21" s="72" t="s">
        <v>781</v>
      </c>
      <c r="C21" s="396">
        <v>70</v>
      </c>
      <c r="D21" s="72">
        <v>132494</v>
      </c>
      <c r="E21" s="72">
        <v>1.3123100000000001</v>
      </c>
    </row>
    <row r="22" spans="1:5" x14ac:dyDescent="0.25">
      <c r="A22" s="397">
        <v>3</v>
      </c>
      <c r="B22" s="72" t="s">
        <v>782</v>
      </c>
      <c r="C22" s="396">
        <v>99</v>
      </c>
      <c r="D22" s="72">
        <v>3770015</v>
      </c>
      <c r="E22" s="72">
        <v>18.83015</v>
      </c>
    </row>
    <row r="23" spans="1:5" x14ac:dyDescent="0.25">
      <c r="A23" s="397">
        <v>4</v>
      </c>
      <c r="B23" s="72" t="s">
        <v>296</v>
      </c>
      <c r="C23" s="396">
        <v>25</v>
      </c>
      <c r="D23" s="72">
        <v>500000</v>
      </c>
      <c r="E23" s="72">
        <v>2.5</v>
      </c>
    </row>
    <row r="24" spans="1:5" x14ac:dyDescent="0.25">
      <c r="A24" s="397">
        <v>5</v>
      </c>
      <c r="B24" s="72" t="s">
        <v>755</v>
      </c>
      <c r="C24" s="396">
        <v>500</v>
      </c>
      <c r="D24" s="72">
        <v>2104458</v>
      </c>
      <c r="E24" s="72">
        <v>16.978079999999999</v>
      </c>
    </row>
    <row r="25" spans="1:5" x14ac:dyDescent="0.25">
      <c r="A25" s="397">
        <v>6</v>
      </c>
      <c r="B25" s="72" t="s">
        <v>765</v>
      </c>
      <c r="C25" s="396">
        <v>46</v>
      </c>
      <c r="D25" s="72">
        <v>23913949</v>
      </c>
      <c r="E25" s="72">
        <v>131.48965999999999</v>
      </c>
    </row>
    <row r="26" spans="1:5" x14ac:dyDescent="0.25">
      <c r="A26" s="397">
        <v>7</v>
      </c>
      <c r="B26" s="72" t="s">
        <v>766</v>
      </c>
      <c r="C26" s="396">
        <v>794</v>
      </c>
      <c r="D26" s="72">
        <v>9881250</v>
      </c>
      <c r="E26" s="72">
        <v>32.450000000000003</v>
      </c>
    </row>
    <row r="27" spans="1:5" x14ac:dyDescent="0.25">
      <c r="A27" s="397">
        <v>8</v>
      </c>
      <c r="B27" s="72" t="s">
        <v>767</v>
      </c>
      <c r="C27" s="396">
        <v>115</v>
      </c>
      <c r="D27" s="72">
        <v>755850</v>
      </c>
      <c r="E27" s="72">
        <v>5.8472799999999996</v>
      </c>
    </row>
    <row r="28" spans="1:5" x14ac:dyDescent="0.25">
      <c r="A28" s="397">
        <v>9</v>
      </c>
      <c r="B28" s="72" t="s">
        <v>801</v>
      </c>
      <c r="C28" s="396"/>
      <c r="D28" s="72">
        <v>204617247</v>
      </c>
      <c r="E28" s="72">
        <v>196.341205</v>
      </c>
    </row>
    <row r="29" spans="1:5" x14ac:dyDescent="0.25">
      <c r="A29" s="397">
        <v>10</v>
      </c>
      <c r="B29" s="72" t="s">
        <v>82</v>
      </c>
      <c r="C29" s="396">
        <v>50</v>
      </c>
      <c r="D29" s="72">
        <v>1000000</v>
      </c>
      <c r="E29" s="72">
        <v>1.4075800000000001</v>
      </c>
    </row>
    <row r="30" spans="1:5" x14ac:dyDescent="0.25">
      <c r="A30" s="397">
        <v>11</v>
      </c>
      <c r="B30" s="72" t="s">
        <v>59</v>
      </c>
      <c r="C30" s="396">
        <v>400</v>
      </c>
      <c r="D30" s="72">
        <v>4962279</v>
      </c>
      <c r="E30" s="72">
        <v>41.603789999999996</v>
      </c>
    </row>
    <row r="31" spans="1:5" x14ac:dyDescent="0.25">
      <c r="A31" s="397">
        <v>12</v>
      </c>
      <c r="B31" s="72" t="s">
        <v>86</v>
      </c>
      <c r="C31" s="396"/>
      <c r="D31" s="72">
        <v>1160150</v>
      </c>
      <c r="E31" s="72">
        <v>0.63654999999999995</v>
      </c>
    </row>
    <row r="32" spans="1:5" x14ac:dyDescent="0.25">
      <c r="A32" s="397">
        <v>13</v>
      </c>
      <c r="B32" s="72" t="s">
        <v>756</v>
      </c>
      <c r="C32" s="396">
        <v>3200</v>
      </c>
      <c r="D32" s="72">
        <v>1032300</v>
      </c>
      <c r="E32" s="72">
        <v>4.8029999999999999</v>
      </c>
    </row>
    <row r="33" spans="1:5" x14ac:dyDescent="0.25">
      <c r="A33" s="397">
        <v>14</v>
      </c>
      <c r="B33" s="72" t="s">
        <v>757</v>
      </c>
      <c r="C33" s="396">
        <v>200</v>
      </c>
      <c r="D33" s="72">
        <v>4509968</v>
      </c>
      <c r="E33" s="72">
        <v>32.654956900000002</v>
      </c>
    </row>
    <row r="34" spans="1:5" x14ac:dyDescent="0.25">
      <c r="A34" s="397">
        <v>15</v>
      </c>
      <c r="B34" s="72" t="s">
        <v>758</v>
      </c>
      <c r="C34" s="396">
        <v>1750</v>
      </c>
      <c r="D34" s="72">
        <v>10444994</v>
      </c>
      <c r="E34" s="72">
        <v>61.902299999999997</v>
      </c>
    </row>
    <row r="35" spans="1:5" x14ac:dyDescent="0.25">
      <c r="A35" s="397">
        <v>16</v>
      </c>
      <c r="B35" s="72" t="s">
        <v>759</v>
      </c>
      <c r="C35" s="396">
        <v>231</v>
      </c>
      <c r="D35" s="72">
        <v>976200</v>
      </c>
      <c r="E35" s="72">
        <v>6.7460000000000004</v>
      </c>
    </row>
    <row r="36" spans="1:5" x14ac:dyDescent="0.25">
      <c r="A36" s="397">
        <v>17</v>
      </c>
      <c r="B36" s="72" t="s">
        <v>802</v>
      </c>
      <c r="C36" s="396">
        <v>458</v>
      </c>
      <c r="D36" s="72">
        <v>1975000</v>
      </c>
      <c r="E36" s="72">
        <v>10.5</v>
      </c>
    </row>
    <row r="37" spans="1:5" x14ac:dyDescent="0.25">
      <c r="A37" s="397">
        <v>18</v>
      </c>
      <c r="B37" s="72" t="s">
        <v>761</v>
      </c>
      <c r="C37" s="396">
        <v>292</v>
      </c>
      <c r="D37" s="72">
        <v>1000000</v>
      </c>
      <c r="E37" s="72">
        <v>10</v>
      </c>
    </row>
    <row r="38" spans="1:5" x14ac:dyDescent="0.25">
      <c r="A38" s="397">
        <v>19</v>
      </c>
      <c r="B38" s="72" t="s">
        <v>762</v>
      </c>
      <c r="C38" s="396">
        <v>734</v>
      </c>
      <c r="D38" s="72">
        <v>9817000</v>
      </c>
      <c r="E38" s="72">
        <v>66.67</v>
      </c>
    </row>
    <row r="39" spans="1:5" x14ac:dyDescent="0.25">
      <c r="A39" s="397">
        <v>20</v>
      </c>
      <c r="B39" s="72" t="s">
        <v>763</v>
      </c>
      <c r="C39" s="396"/>
      <c r="D39" s="72">
        <v>1892634</v>
      </c>
      <c r="E39" s="72">
        <v>9.6279199999999996</v>
      </c>
    </row>
    <row r="40" spans="1:5" x14ac:dyDescent="0.25">
      <c r="A40" s="397">
        <v>21</v>
      </c>
      <c r="B40" s="72" t="s">
        <v>764</v>
      </c>
      <c r="C40" s="396">
        <v>4</v>
      </c>
      <c r="D40" s="72">
        <v>166520</v>
      </c>
      <c r="E40" s="72">
        <v>0.91520000000000001</v>
      </c>
    </row>
    <row r="41" spans="1:5" x14ac:dyDescent="0.25">
      <c r="A41" s="397">
        <v>22</v>
      </c>
      <c r="B41" s="72" t="s">
        <v>228</v>
      </c>
      <c r="C41" s="396">
        <v>800</v>
      </c>
      <c r="D41" s="72">
        <v>418500</v>
      </c>
      <c r="E41" s="72">
        <v>2</v>
      </c>
    </row>
    <row r="42" spans="1:5" x14ac:dyDescent="0.25">
      <c r="A42" s="397">
        <v>23</v>
      </c>
      <c r="B42" s="72" t="s">
        <v>290</v>
      </c>
      <c r="C42" s="396"/>
      <c r="D42" s="72">
        <v>10000000</v>
      </c>
      <c r="E42" s="72">
        <v>25</v>
      </c>
    </row>
    <row r="43" spans="1:5" x14ac:dyDescent="0.25">
      <c r="A43" s="397">
        <v>24</v>
      </c>
      <c r="B43" s="72" t="s">
        <v>744</v>
      </c>
      <c r="C43" s="396">
        <v>200</v>
      </c>
      <c r="D43" s="72">
        <v>1404051</v>
      </c>
      <c r="E43" s="72">
        <v>10.52</v>
      </c>
    </row>
    <row r="44" spans="1:5" x14ac:dyDescent="0.25">
      <c r="A44" s="397">
        <v>25</v>
      </c>
      <c r="B44" s="72" t="s">
        <v>754</v>
      </c>
      <c r="C44" s="396"/>
      <c r="D44" s="72">
        <v>2979428</v>
      </c>
      <c r="E44" s="72">
        <v>14.75137</v>
      </c>
    </row>
    <row r="45" spans="1:5" x14ac:dyDescent="0.25">
      <c r="A45" s="397">
        <v>26</v>
      </c>
      <c r="B45" s="72" t="s">
        <v>783</v>
      </c>
      <c r="C45" s="396"/>
      <c r="D45" s="72">
        <v>3110604</v>
      </c>
      <c r="E45" s="72">
        <v>24.979590000000002</v>
      </c>
    </row>
    <row r="46" spans="1:5" x14ac:dyDescent="0.25">
      <c r="A46" s="397">
        <v>27</v>
      </c>
      <c r="B46" s="72" t="s">
        <v>784</v>
      </c>
      <c r="C46" s="396"/>
      <c r="D46" s="72">
        <v>22619353</v>
      </c>
      <c r="E46" s="72">
        <v>114.94016000000001</v>
      </c>
    </row>
    <row r="47" spans="1:5" x14ac:dyDescent="0.25">
      <c r="A47" s="397">
        <v>28</v>
      </c>
      <c r="B47" s="72" t="s">
        <v>785</v>
      </c>
      <c r="C47" s="396"/>
      <c r="D47" s="72">
        <v>6187345</v>
      </c>
      <c r="E47" s="72">
        <v>51.285490000000003</v>
      </c>
    </row>
    <row r="48" spans="1:5" x14ac:dyDescent="0.25">
      <c r="A48" s="397">
        <v>29</v>
      </c>
      <c r="B48" s="72" t="s">
        <v>770</v>
      </c>
      <c r="C48" s="396"/>
      <c r="D48" s="72">
        <v>2291000</v>
      </c>
      <c r="E48" s="72">
        <v>13.561999999999999</v>
      </c>
    </row>
    <row r="49" spans="1:5" x14ac:dyDescent="0.25">
      <c r="A49" s="397">
        <v>30</v>
      </c>
      <c r="B49" s="72" t="s">
        <v>433</v>
      </c>
      <c r="C49" s="396"/>
      <c r="D49" s="72">
        <v>1001000</v>
      </c>
      <c r="E49" s="72">
        <v>6.5247599999999997</v>
      </c>
    </row>
    <row r="50" spans="1:5" x14ac:dyDescent="0.25">
      <c r="A50" s="397">
        <v>32</v>
      </c>
      <c r="B50" s="72" t="s">
        <v>769</v>
      </c>
      <c r="C50" s="396"/>
      <c r="D50" s="72">
        <v>1272191</v>
      </c>
      <c r="E50" s="72">
        <v>5.209295</v>
      </c>
    </row>
    <row r="51" spans="1:5" x14ac:dyDescent="0.25">
      <c r="A51" s="397">
        <v>33</v>
      </c>
      <c r="B51" s="72" t="s">
        <v>745</v>
      </c>
      <c r="C51" s="396"/>
      <c r="D51" s="72">
        <v>4317148</v>
      </c>
      <c r="E51" s="72">
        <v>13.54172</v>
      </c>
    </row>
    <row r="52" spans="1:5" x14ac:dyDescent="0.25">
      <c r="A52" s="397">
        <v>34</v>
      </c>
      <c r="B52" s="72" t="s">
        <v>743</v>
      </c>
      <c r="C52" s="396">
        <v>45</v>
      </c>
      <c r="D52" s="72">
        <v>424095</v>
      </c>
      <c r="E52" s="72">
        <v>1.4136500000000001</v>
      </c>
    </row>
    <row r="53" spans="1:5" x14ac:dyDescent="0.25">
      <c r="A53" s="397">
        <v>35</v>
      </c>
      <c r="B53" s="72" t="s">
        <v>746</v>
      </c>
      <c r="C53" s="396"/>
      <c r="D53" s="72">
        <v>496000</v>
      </c>
      <c r="E53" s="72">
        <v>3.4</v>
      </c>
    </row>
    <row r="54" spans="1:5" x14ac:dyDescent="0.25">
      <c r="A54" s="397">
        <v>36</v>
      </c>
      <c r="B54" s="72" t="s">
        <v>747</v>
      </c>
      <c r="C54" s="396"/>
      <c r="D54" s="72">
        <v>448800</v>
      </c>
      <c r="E54" s="72">
        <v>3.5224000000000002</v>
      </c>
    </row>
    <row r="55" spans="1:5" x14ac:dyDescent="0.25">
      <c r="A55" s="397">
        <v>37</v>
      </c>
      <c r="B55" s="72" t="s">
        <v>596</v>
      </c>
      <c r="C55" s="396"/>
      <c r="D55" s="72">
        <v>590000</v>
      </c>
      <c r="E55" s="72">
        <v>4.55</v>
      </c>
    </row>
    <row r="56" spans="1:5" x14ac:dyDescent="0.25">
      <c r="A56" s="397">
        <v>38</v>
      </c>
      <c r="B56" s="72" t="s">
        <v>748</v>
      </c>
      <c r="C56" s="396"/>
      <c r="D56" s="72">
        <v>1109200</v>
      </c>
      <c r="E56" s="72">
        <v>4</v>
      </c>
    </row>
    <row r="57" spans="1:5" x14ac:dyDescent="0.25">
      <c r="A57" s="397">
        <v>39</v>
      </c>
      <c r="B57" s="72" t="s">
        <v>773</v>
      </c>
      <c r="C57" s="396"/>
      <c r="D57" s="72">
        <v>7162428</v>
      </c>
      <c r="E57" s="72">
        <v>32.108164000000002</v>
      </c>
    </row>
    <row r="58" spans="1:5" x14ac:dyDescent="0.25">
      <c r="A58" s="397">
        <v>40</v>
      </c>
      <c r="B58" s="72" t="s">
        <v>771</v>
      </c>
      <c r="C58" s="396"/>
      <c r="D58" s="72">
        <v>3632990</v>
      </c>
      <c r="E58" s="72">
        <v>23.303370000000001</v>
      </c>
    </row>
    <row r="59" spans="1:5" x14ac:dyDescent="0.25">
      <c r="A59" s="397">
        <v>41</v>
      </c>
      <c r="B59" s="72" t="s">
        <v>772</v>
      </c>
      <c r="C59" s="396"/>
      <c r="D59" s="72">
        <v>156200</v>
      </c>
      <c r="E59" s="72">
        <v>1.5620000000000001</v>
      </c>
    </row>
    <row r="60" spans="1:5" x14ac:dyDescent="0.25">
      <c r="A60" s="397">
        <v>42</v>
      </c>
      <c r="B60" s="72" t="s">
        <v>749</v>
      </c>
      <c r="C60" s="396">
        <v>5714</v>
      </c>
      <c r="D60" s="72">
        <v>1333597</v>
      </c>
      <c r="E60" s="72">
        <v>4.2459699999999998</v>
      </c>
    </row>
    <row r="61" spans="1:5" x14ac:dyDescent="0.25">
      <c r="A61" s="397">
        <v>43</v>
      </c>
      <c r="B61" s="72" t="s">
        <v>750</v>
      </c>
      <c r="C61" s="396">
        <v>259</v>
      </c>
      <c r="D61" s="72">
        <v>6196800</v>
      </c>
      <c r="E61" s="72">
        <v>41.718000000000004</v>
      </c>
    </row>
    <row r="62" spans="1:5" x14ac:dyDescent="0.25">
      <c r="A62" s="397">
        <v>44</v>
      </c>
      <c r="B62" s="72" t="s">
        <v>751</v>
      </c>
      <c r="C62" s="396"/>
      <c r="D62" s="72">
        <v>734450</v>
      </c>
      <c r="E62" s="72">
        <v>2.0945</v>
      </c>
    </row>
    <row r="63" spans="1:5" x14ac:dyDescent="0.25">
      <c r="A63" s="397">
        <v>45</v>
      </c>
      <c r="B63" s="72" t="s">
        <v>752</v>
      </c>
      <c r="C63" s="396">
        <v>111</v>
      </c>
      <c r="D63" s="72">
        <v>4455000</v>
      </c>
      <c r="E63" s="72">
        <v>41.6</v>
      </c>
    </row>
    <row r="64" spans="1:5" x14ac:dyDescent="0.25">
      <c r="A64" s="397">
        <v>46</v>
      </c>
      <c r="B64" s="72" t="s">
        <v>803</v>
      </c>
      <c r="C64" s="396"/>
      <c r="D64" s="72">
        <v>366000</v>
      </c>
      <c r="E64" s="72">
        <v>2.94</v>
      </c>
    </row>
    <row r="65" spans="1:6" x14ac:dyDescent="0.25">
      <c r="A65" s="397">
        <v>47</v>
      </c>
      <c r="B65" s="72" t="s">
        <v>774</v>
      </c>
      <c r="C65" s="396"/>
      <c r="D65" s="72">
        <v>750000</v>
      </c>
      <c r="E65" s="72">
        <v>4.8</v>
      </c>
    </row>
    <row r="66" spans="1:6" x14ac:dyDescent="0.25">
      <c r="A66" s="397">
        <v>48</v>
      </c>
      <c r="B66" s="72" t="s">
        <v>775</v>
      </c>
      <c r="C66" s="396"/>
      <c r="D66" s="72">
        <v>975000</v>
      </c>
      <c r="E66" s="72">
        <v>9.75</v>
      </c>
    </row>
    <row r="67" spans="1:6" x14ac:dyDescent="0.25">
      <c r="A67" s="397">
        <v>49</v>
      </c>
      <c r="B67" s="72" t="s">
        <v>522</v>
      </c>
      <c r="C67" s="396"/>
      <c r="D67" s="72">
        <v>1300000</v>
      </c>
      <c r="E67" s="72">
        <v>11</v>
      </c>
    </row>
    <row r="68" spans="1:6" x14ac:dyDescent="0.25">
      <c r="A68" s="397">
        <v>50</v>
      </c>
      <c r="B68" s="72" t="s">
        <v>776</v>
      </c>
      <c r="C68" s="396"/>
      <c r="D68" s="72">
        <v>1151250</v>
      </c>
      <c r="E68" s="72">
        <v>9.1999999999999993</v>
      </c>
    </row>
    <row r="69" spans="1:6" x14ac:dyDescent="0.25">
      <c r="A69" s="397">
        <v>51</v>
      </c>
      <c r="B69" s="72" t="s">
        <v>777</v>
      </c>
      <c r="C69" s="396"/>
      <c r="D69" s="72">
        <v>2025000</v>
      </c>
      <c r="E69" s="72">
        <v>13.45</v>
      </c>
    </row>
    <row r="70" spans="1:6" x14ac:dyDescent="0.25">
      <c r="A70" s="397">
        <v>52</v>
      </c>
      <c r="B70" s="72" t="s">
        <v>778</v>
      </c>
      <c r="C70" s="396">
        <v>40</v>
      </c>
      <c r="D70" s="72">
        <v>2323957</v>
      </c>
      <c r="E70" s="72">
        <v>22.859570000000001</v>
      </c>
    </row>
    <row r="71" spans="1:6" x14ac:dyDescent="0.25">
      <c r="A71" s="397">
        <v>53</v>
      </c>
      <c r="B71" s="72" t="s">
        <v>804</v>
      </c>
      <c r="C71" s="396"/>
      <c r="D71" s="72">
        <v>233000</v>
      </c>
      <c r="E71" s="72">
        <v>2.33</v>
      </c>
    </row>
    <row r="72" spans="1:6" x14ac:dyDescent="0.25">
      <c r="A72" s="397">
        <v>54</v>
      </c>
      <c r="B72" s="72" t="s">
        <v>786</v>
      </c>
      <c r="C72" s="396"/>
      <c r="D72" s="72"/>
      <c r="E72" s="72">
        <v>12.847149999999999</v>
      </c>
    </row>
    <row r="73" spans="1:6" x14ac:dyDescent="0.25">
      <c r="A73" s="397"/>
      <c r="B73" s="72"/>
      <c r="C73" s="396"/>
      <c r="D73" s="72">
        <v>377333195</v>
      </c>
      <c r="E73" s="72">
        <f>SUM(E20:E72)</f>
        <v>1196.7251408999998</v>
      </c>
    </row>
    <row r="78" spans="1:6" x14ac:dyDescent="0.25">
      <c r="E78">
        <v>377333195</v>
      </c>
    </row>
    <row r="79" spans="1:6" x14ac:dyDescent="0.25">
      <c r="E79">
        <v>0</v>
      </c>
    </row>
    <row r="80" spans="1:6" ht="56.25" x14ac:dyDescent="0.25">
      <c r="B80" s="399" t="s">
        <v>9</v>
      </c>
      <c r="C80" s="399" t="s">
        <v>805</v>
      </c>
      <c r="D80" s="399" t="s">
        <v>806</v>
      </c>
      <c r="E80" s="399" t="s">
        <v>807</v>
      </c>
      <c r="F80" s="399" t="s">
        <v>808</v>
      </c>
    </row>
    <row r="81" spans="2:6" ht="18.75" x14ac:dyDescent="0.3">
      <c r="B81" s="398">
        <v>256673000</v>
      </c>
      <c r="C81" s="398">
        <v>238263768</v>
      </c>
      <c r="D81" s="398">
        <v>15627000</v>
      </c>
      <c r="E81" s="398">
        <v>18409232</v>
      </c>
      <c r="F81" s="398">
        <v>241046000</v>
      </c>
    </row>
    <row r="83" spans="2:6" x14ac:dyDescent="0.25">
      <c r="E83">
        <f>B81-C81</f>
        <v>18409232</v>
      </c>
      <c r="F83">
        <f>B81-D81</f>
        <v>241046000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5"/>
  <sheetViews>
    <sheetView topLeftCell="A10" zoomScale="80" zoomScaleNormal="80" workbookViewId="0">
      <selection activeCell="A2" sqref="A2"/>
    </sheetView>
  </sheetViews>
  <sheetFormatPr defaultRowHeight="15" x14ac:dyDescent="0.25"/>
  <cols>
    <col min="1" max="1" width="61.42578125" style="152" customWidth="1"/>
    <col min="2" max="2" width="16.140625" customWidth="1"/>
    <col min="4" max="4" width="11.140625" customWidth="1"/>
  </cols>
  <sheetData>
    <row r="2" spans="1:5" ht="30" x14ac:dyDescent="0.25">
      <c r="A2" s="65" t="s">
        <v>893</v>
      </c>
      <c r="B2" s="72" t="s">
        <v>809</v>
      </c>
      <c r="C2" s="72">
        <v>12.57</v>
      </c>
      <c r="D2" s="72">
        <v>8.5</v>
      </c>
    </row>
    <row r="3" spans="1:5" ht="30" x14ac:dyDescent="0.25">
      <c r="A3" s="65" t="s">
        <v>810</v>
      </c>
      <c r="B3" s="72" t="s">
        <v>811</v>
      </c>
      <c r="C3" s="72">
        <v>1.32</v>
      </c>
      <c r="D3" s="72">
        <v>1.31</v>
      </c>
    </row>
    <row r="4" spans="1:5" ht="30" x14ac:dyDescent="0.25">
      <c r="A4" s="65" t="s">
        <v>817</v>
      </c>
      <c r="B4" s="72" t="s">
        <v>812</v>
      </c>
      <c r="C4" s="72">
        <v>37.700000000000003</v>
      </c>
      <c r="D4" s="72">
        <v>18.829999999999998</v>
      </c>
    </row>
    <row r="5" spans="1:5" ht="45" x14ac:dyDescent="0.25">
      <c r="A5" s="65" t="s">
        <v>813</v>
      </c>
      <c r="B5" s="72" t="s">
        <v>814</v>
      </c>
      <c r="C5" s="72">
        <v>5</v>
      </c>
      <c r="D5" s="72">
        <v>2.5</v>
      </c>
    </row>
    <row r="6" spans="1:5" ht="30" x14ac:dyDescent="0.25">
      <c r="A6" s="65" t="s">
        <v>815</v>
      </c>
      <c r="B6" s="72" t="s">
        <v>816</v>
      </c>
      <c r="C6" s="72">
        <v>49.62</v>
      </c>
      <c r="D6" s="72">
        <v>41.6</v>
      </c>
    </row>
    <row r="7" spans="1:5" ht="45" x14ac:dyDescent="0.25">
      <c r="A7" s="65" t="s">
        <v>818</v>
      </c>
      <c r="B7" s="72" t="s">
        <v>819</v>
      </c>
      <c r="C7" s="72">
        <v>21.04</v>
      </c>
      <c r="D7" s="72">
        <v>16.98</v>
      </c>
      <c r="E7" s="72"/>
    </row>
    <row r="8" spans="1:5" ht="30" x14ac:dyDescent="0.25">
      <c r="A8" s="65" t="s">
        <v>820</v>
      </c>
      <c r="B8" s="72" t="s">
        <v>821</v>
      </c>
      <c r="C8" s="72">
        <v>98.81</v>
      </c>
      <c r="D8" s="72">
        <v>32.450000000000003</v>
      </c>
      <c r="E8" s="72"/>
    </row>
    <row r="9" spans="1:5" ht="30" x14ac:dyDescent="0.25">
      <c r="A9" s="65" t="s">
        <v>822</v>
      </c>
      <c r="B9" s="72" t="s">
        <v>823</v>
      </c>
      <c r="C9" s="72">
        <v>7.56</v>
      </c>
      <c r="D9" s="72">
        <v>5.85</v>
      </c>
      <c r="E9" s="72"/>
    </row>
    <row r="10" spans="1:5" x14ac:dyDescent="0.25">
      <c r="A10" s="65" t="s">
        <v>824</v>
      </c>
      <c r="B10" s="72" t="s">
        <v>825</v>
      </c>
      <c r="C10" s="72">
        <v>2046.17</v>
      </c>
      <c r="D10" s="72">
        <v>196.34</v>
      </c>
      <c r="E10" s="72"/>
    </row>
    <row r="11" spans="1:5" x14ac:dyDescent="0.25">
      <c r="A11" s="65" t="s">
        <v>826</v>
      </c>
      <c r="B11" s="72" t="s">
        <v>827</v>
      </c>
      <c r="C11" s="72">
        <v>10</v>
      </c>
      <c r="D11" s="72">
        <v>1.41</v>
      </c>
      <c r="E11" s="72"/>
    </row>
    <row r="12" spans="1:5" x14ac:dyDescent="0.25">
      <c r="A12" s="65" t="s">
        <v>828</v>
      </c>
      <c r="B12" s="72" t="s">
        <v>829</v>
      </c>
      <c r="C12" s="72">
        <v>11.6</v>
      </c>
      <c r="D12" s="72">
        <v>0.64</v>
      </c>
      <c r="E12" s="72"/>
    </row>
    <row r="13" spans="1:5" ht="15" customHeight="1" x14ac:dyDescent="0.25">
      <c r="A13" s="65" t="s">
        <v>830</v>
      </c>
      <c r="B13" s="72"/>
      <c r="C13" s="72">
        <v>239.14</v>
      </c>
      <c r="D13" s="72">
        <v>131.49</v>
      </c>
      <c r="E13" s="72"/>
    </row>
    <row r="14" spans="1:5" ht="15" customHeight="1" x14ac:dyDescent="0.25">
      <c r="A14" s="65" t="s">
        <v>831</v>
      </c>
      <c r="B14" s="72" t="s">
        <v>832</v>
      </c>
      <c r="C14" s="72">
        <v>10.32</v>
      </c>
      <c r="D14" s="72">
        <v>4.8</v>
      </c>
    </row>
    <row r="15" spans="1:5" ht="15" customHeight="1" x14ac:dyDescent="0.25">
      <c r="A15" s="65" t="s">
        <v>833</v>
      </c>
      <c r="B15" s="72" t="s">
        <v>834</v>
      </c>
      <c r="C15" s="72">
        <v>45.1</v>
      </c>
      <c r="D15" s="72">
        <v>32.65</v>
      </c>
    </row>
    <row r="16" spans="1:5" ht="15" customHeight="1" x14ac:dyDescent="0.25">
      <c r="A16" s="65" t="s">
        <v>835</v>
      </c>
      <c r="B16" s="72" t="s">
        <v>836</v>
      </c>
      <c r="C16" s="72">
        <v>104.45</v>
      </c>
      <c r="D16" s="72">
        <v>61.9</v>
      </c>
    </row>
    <row r="17" spans="1:4" ht="15" customHeight="1" x14ac:dyDescent="0.25">
      <c r="A17" s="65" t="s">
        <v>837</v>
      </c>
      <c r="B17" s="72" t="s">
        <v>838</v>
      </c>
      <c r="C17" s="72">
        <v>18.260000000000002</v>
      </c>
      <c r="D17" s="72">
        <v>6.75</v>
      </c>
    </row>
    <row r="18" spans="1:4" ht="15.75" customHeight="1" x14ac:dyDescent="0.25">
      <c r="A18" s="65" t="s">
        <v>839</v>
      </c>
      <c r="B18" s="72" t="s">
        <v>840</v>
      </c>
      <c r="C18" s="72">
        <v>19.75</v>
      </c>
      <c r="D18" s="72">
        <v>10.5</v>
      </c>
    </row>
    <row r="19" spans="1:4" ht="45" x14ac:dyDescent="0.25">
      <c r="A19" s="65" t="s">
        <v>761</v>
      </c>
      <c r="B19" s="72" t="s">
        <v>841</v>
      </c>
      <c r="C19" s="72">
        <v>10</v>
      </c>
      <c r="D19" s="72">
        <v>10</v>
      </c>
    </row>
    <row r="20" spans="1:4" ht="30" x14ac:dyDescent="0.25">
      <c r="A20" s="65" t="s">
        <v>842</v>
      </c>
      <c r="B20" s="72">
        <v>806</v>
      </c>
      <c r="C20" s="72">
        <v>98.17</v>
      </c>
      <c r="D20" s="72">
        <v>66.67</v>
      </c>
    </row>
    <row r="21" spans="1:4" ht="30" x14ac:dyDescent="0.25">
      <c r="A21" s="65" t="s">
        <v>843</v>
      </c>
      <c r="B21" s="72" t="s">
        <v>844</v>
      </c>
      <c r="C21" s="72">
        <v>18.93</v>
      </c>
      <c r="D21" s="72">
        <v>9.6300000000000008</v>
      </c>
    </row>
    <row r="22" spans="1:4" ht="30" x14ac:dyDescent="0.25">
      <c r="A22" s="65" t="s">
        <v>845</v>
      </c>
      <c r="B22" s="72" t="s">
        <v>846</v>
      </c>
      <c r="C22" s="72">
        <v>4.99</v>
      </c>
      <c r="D22" s="72">
        <v>4.99</v>
      </c>
    </row>
    <row r="23" spans="1:4" ht="45" x14ac:dyDescent="0.25">
      <c r="A23" s="65" t="s">
        <v>764</v>
      </c>
      <c r="B23" s="72" t="s">
        <v>847</v>
      </c>
      <c r="C23" s="72">
        <v>1.67</v>
      </c>
      <c r="D23" s="72">
        <v>0.92</v>
      </c>
    </row>
    <row r="24" spans="1:4" ht="30" x14ac:dyDescent="0.25">
      <c r="A24" s="65" t="s">
        <v>848</v>
      </c>
      <c r="B24" s="72">
        <v>400</v>
      </c>
      <c r="C24" s="72">
        <v>4.1900000000000004</v>
      </c>
      <c r="D24" s="72">
        <v>2</v>
      </c>
    </row>
    <row r="25" spans="1:4" ht="30" x14ac:dyDescent="0.25">
      <c r="A25" s="65" t="s">
        <v>849</v>
      </c>
      <c r="B25" s="72" t="s">
        <v>850</v>
      </c>
      <c r="C25" s="72">
        <v>100</v>
      </c>
      <c r="D25" s="72">
        <v>25</v>
      </c>
    </row>
    <row r="26" spans="1:4" ht="45" x14ac:dyDescent="0.25">
      <c r="A26" s="65" t="s">
        <v>851</v>
      </c>
      <c r="B26" s="72" t="s">
        <v>852</v>
      </c>
      <c r="C26" s="72">
        <v>30.29</v>
      </c>
      <c r="D26" s="72">
        <v>14.75</v>
      </c>
    </row>
    <row r="27" spans="1:4" ht="30" x14ac:dyDescent="0.25">
      <c r="A27" s="65" t="s">
        <v>853</v>
      </c>
      <c r="B27" s="72" t="s">
        <v>854</v>
      </c>
      <c r="C27" s="72">
        <v>31.11</v>
      </c>
      <c r="D27" s="72">
        <v>24.98</v>
      </c>
    </row>
    <row r="28" spans="1:4" x14ac:dyDescent="0.25">
      <c r="A28" s="65" t="s">
        <v>855</v>
      </c>
      <c r="B28" s="72" t="s">
        <v>856</v>
      </c>
      <c r="C28" s="72">
        <v>226.19</v>
      </c>
      <c r="D28" s="72">
        <v>114.94</v>
      </c>
    </row>
    <row r="29" spans="1:4" ht="30" x14ac:dyDescent="0.25">
      <c r="A29" s="65" t="s">
        <v>857</v>
      </c>
      <c r="B29" s="72" t="s">
        <v>858</v>
      </c>
      <c r="C29" s="72">
        <v>61.87</v>
      </c>
      <c r="D29" s="72">
        <v>51.29</v>
      </c>
    </row>
    <row r="30" spans="1:4" ht="45" x14ac:dyDescent="0.25">
      <c r="A30" s="65" t="s">
        <v>859</v>
      </c>
      <c r="B30" s="72" t="s">
        <v>860</v>
      </c>
      <c r="C30" s="72">
        <v>17.239999999999998</v>
      </c>
      <c r="D30" s="72">
        <v>13.56</v>
      </c>
    </row>
    <row r="31" spans="1:4" ht="30" x14ac:dyDescent="0.25">
      <c r="A31" s="65" t="s">
        <v>861</v>
      </c>
      <c r="B31" s="72" t="s">
        <v>862</v>
      </c>
      <c r="C31" s="72">
        <v>10.01</v>
      </c>
      <c r="D31" s="72">
        <v>6.52</v>
      </c>
    </row>
    <row r="32" spans="1:4" ht="30" x14ac:dyDescent="0.25">
      <c r="A32" s="65" t="s">
        <v>863</v>
      </c>
      <c r="B32" s="72" t="s">
        <v>864</v>
      </c>
      <c r="C32" s="72">
        <v>12.72</v>
      </c>
      <c r="D32" s="72">
        <v>5.21</v>
      </c>
    </row>
    <row r="33" spans="1:4" x14ac:dyDescent="0.25">
      <c r="A33" s="65" t="s">
        <v>865</v>
      </c>
      <c r="B33" s="72" t="s">
        <v>866</v>
      </c>
      <c r="C33" s="72">
        <v>54.17</v>
      </c>
      <c r="D33" s="241">
        <v>17.54</v>
      </c>
    </row>
    <row r="34" spans="1:4" ht="30" x14ac:dyDescent="0.25">
      <c r="A34" s="65" t="s">
        <v>867</v>
      </c>
      <c r="B34" s="72" t="s">
        <v>868</v>
      </c>
      <c r="C34" s="72">
        <v>70</v>
      </c>
      <c r="D34" s="241">
        <v>5.41</v>
      </c>
    </row>
    <row r="35" spans="1:4" ht="30" x14ac:dyDescent="0.25">
      <c r="A35" s="65" t="s">
        <v>869</v>
      </c>
      <c r="B35" s="72" t="s">
        <v>866</v>
      </c>
      <c r="C35" s="72">
        <v>6.5</v>
      </c>
      <c r="D35" s="72">
        <v>3.4</v>
      </c>
    </row>
    <row r="36" spans="1:4" ht="45" x14ac:dyDescent="0.25">
      <c r="A36" s="65" t="s">
        <v>870</v>
      </c>
      <c r="B36" s="72" t="s">
        <v>871</v>
      </c>
      <c r="C36" s="72">
        <v>4.49</v>
      </c>
      <c r="D36" s="72">
        <v>3.52</v>
      </c>
    </row>
    <row r="37" spans="1:4" x14ac:dyDescent="0.25">
      <c r="A37" s="65" t="s">
        <v>872</v>
      </c>
      <c r="B37" s="72" t="s">
        <v>866</v>
      </c>
      <c r="C37" s="72">
        <v>36.33</v>
      </c>
      <c r="D37" s="72">
        <v>23.3</v>
      </c>
    </row>
    <row r="38" spans="1:4" ht="45" x14ac:dyDescent="0.25">
      <c r="A38" s="65" t="s">
        <v>873</v>
      </c>
      <c r="B38" s="72" t="s">
        <v>844</v>
      </c>
      <c r="C38" s="72">
        <v>71.62</v>
      </c>
      <c r="D38" s="72">
        <v>32.11</v>
      </c>
    </row>
    <row r="39" spans="1:4" ht="30" x14ac:dyDescent="0.25">
      <c r="A39" s="65" t="s">
        <v>874</v>
      </c>
      <c r="B39" s="72" t="s">
        <v>875</v>
      </c>
      <c r="C39" s="72">
        <v>1.56</v>
      </c>
      <c r="D39" s="72">
        <v>1.56</v>
      </c>
    </row>
    <row r="40" spans="1:4" ht="45" x14ac:dyDescent="0.25">
      <c r="A40" s="65" t="s">
        <v>876</v>
      </c>
      <c r="B40" s="72" t="s">
        <v>877</v>
      </c>
      <c r="C40" s="72">
        <v>13.34</v>
      </c>
      <c r="D40" s="72">
        <v>4.25</v>
      </c>
    </row>
    <row r="41" spans="1:4" ht="45" x14ac:dyDescent="0.25">
      <c r="A41" s="65" t="s">
        <v>750</v>
      </c>
      <c r="B41" s="72" t="s">
        <v>878</v>
      </c>
      <c r="C41" s="72">
        <v>61.97</v>
      </c>
      <c r="D41" s="72">
        <v>41.72</v>
      </c>
    </row>
    <row r="42" spans="1:4" ht="45" x14ac:dyDescent="0.25">
      <c r="A42" s="65" t="s">
        <v>879</v>
      </c>
      <c r="B42" s="72" t="s">
        <v>880</v>
      </c>
      <c r="C42" s="72">
        <v>7.34</v>
      </c>
      <c r="D42" s="72">
        <v>2.09</v>
      </c>
    </row>
    <row r="43" spans="1:4" ht="30" x14ac:dyDescent="0.25">
      <c r="A43" s="65" t="s">
        <v>881</v>
      </c>
      <c r="B43" s="72" t="s">
        <v>882</v>
      </c>
      <c r="C43" s="72">
        <v>3.66</v>
      </c>
      <c r="D43" s="72">
        <v>2.94</v>
      </c>
    </row>
    <row r="44" spans="1:4" ht="30" x14ac:dyDescent="0.25">
      <c r="A44" s="65" t="s">
        <v>883</v>
      </c>
      <c r="B44" s="72" t="s">
        <v>884</v>
      </c>
      <c r="C44" s="72">
        <v>20.6</v>
      </c>
      <c r="D44" s="72">
        <v>10.52</v>
      </c>
    </row>
    <row r="45" spans="1:4" ht="30" x14ac:dyDescent="0.25">
      <c r="A45" s="65" t="s">
        <v>752</v>
      </c>
      <c r="B45" s="72" t="s">
        <v>885</v>
      </c>
      <c r="C45" s="72">
        <v>44.55</v>
      </c>
      <c r="D45" s="72">
        <v>41.6</v>
      </c>
    </row>
    <row r="46" spans="1:4" ht="30" x14ac:dyDescent="0.25">
      <c r="A46" s="65" t="s">
        <v>774</v>
      </c>
      <c r="B46" s="72" t="s">
        <v>886</v>
      </c>
      <c r="C46" s="72">
        <v>7.5</v>
      </c>
      <c r="D46" s="72">
        <v>4.8</v>
      </c>
    </row>
    <row r="47" spans="1:4" ht="30" x14ac:dyDescent="0.25">
      <c r="A47" s="65" t="s">
        <v>775</v>
      </c>
      <c r="B47" s="72" t="s">
        <v>887</v>
      </c>
      <c r="C47" s="72">
        <v>9.75</v>
      </c>
      <c r="D47" s="72">
        <v>9.75</v>
      </c>
    </row>
    <row r="48" spans="1:4" ht="60" x14ac:dyDescent="0.25">
      <c r="A48" s="65" t="s">
        <v>888</v>
      </c>
      <c r="B48" s="72" t="s">
        <v>886</v>
      </c>
      <c r="C48" s="72">
        <v>13</v>
      </c>
      <c r="D48" s="72">
        <v>11</v>
      </c>
    </row>
    <row r="49" spans="1:4" ht="30" x14ac:dyDescent="0.25">
      <c r="A49" s="65" t="s">
        <v>776</v>
      </c>
      <c r="B49" s="72" t="s">
        <v>889</v>
      </c>
      <c r="C49" s="72">
        <v>11.51</v>
      </c>
      <c r="D49" s="72">
        <v>9.1999999999999993</v>
      </c>
    </row>
    <row r="50" spans="1:4" ht="60" x14ac:dyDescent="0.25">
      <c r="A50" s="65" t="s">
        <v>777</v>
      </c>
      <c r="B50" s="72" t="s">
        <v>890</v>
      </c>
      <c r="C50" s="72">
        <v>20.25</v>
      </c>
      <c r="D50" s="72">
        <v>13.45</v>
      </c>
    </row>
    <row r="51" spans="1:4" ht="30" x14ac:dyDescent="0.25">
      <c r="A51" s="65" t="s">
        <v>778</v>
      </c>
      <c r="B51" s="72" t="s">
        <v>891</v>
      </c>
      <c r="C51" s="72">
        <v>23.24</v>
      </c>
      <c r="D51" s="72">
        <v>22.86</v>
      </c>
    </row>
    <row r="52" spans="1:4" ht="30" x14ac:dyDescent="0.25">
      <c r="A52" s="65" t="s">
        <v>804</v>
      </c>
      <c r="B52" s="72"/>
      <c r="C52" s="72">
        <v>2.33</v>
      </c>
      <c r="D52" s="72">
        <v>2.33</v>
      </c>
    </row>
    <row r="53" spans="1:4" x14ac:dyDescent="0.25">
      <c r="A53" s="65" t="s">
        <v>786</v>
      </c>
      <c r="B53" s="72"/>
      <c r="C53" s="72"/>
      <c r="D53" s="72">
        <v>12.85</v>
      </c>
    </row>
    <row r="54" spans="1:4" x14ac:dyDescent="0.25">
      <c r="A54" s="65" t="s">
        <v>892</v>
      </c>
      <c r="B54" s="72"/>
      <c r="C54" s="72"/>
      <c r="D54" s="72">
        <v>1201.72</v>
      </c>
    </row>
    <row r="55" spans="1:4" x14ac:dyDescent="0.25">
      <c r="D55">
        <f>D54-4.8</f>
        <v>1196.92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abSelected="1" zoomScale="115" zoomScaleNormal="115" workbookViewId="0">
      <selection activeCell="H6" sqref="H6"/>
    </sheetView>
  </sheetViews>
  <sheetFormatPr defaultRowHeight="15" x14ac:dyDescent="0.25"/>
  <cols>
    <col min="1" max="1" width="23.28515625" customWidth="1"/>
    <col min="2" max="2" width="47.85546875" customWidth="1"/>
    <col min="3" max="3" width="16.140625" style="433" customWidth="1"/>
    <col min="4" max="4" width="16.7109375" style="434" customWidth="1"/>
    <col min="5" max="5" width="14.5703125" customWidth="1"/>
    <col min="6" max="6" width="12.5703125" customWidth="1"/>
  </cols>
  <sheetData>
    <row r="1" spans="1:5" x14ac:dyDescent="0.25">
      <c r="A1" s="392" t="s">
        <v>958</v>
      </c>
    </row>
    <row r="2" spans="1:5" x14ac:dyDescent="0.25">
      <c r="D2" s="471" t="s">
        <v>940</v>
      </c>
      <c r="E2" s="472"/>
    </row>
    <row r="3" spans="1:5" ht="90" x14ac:dyDescent="0.25">
      <c r="A3" s="436" t="s">
        <v>941</v>
      </c>
      <c r="B3" s="437" t="s">
        <v>942</v>
      </c>
      <c r="C3" s="437" t="s">
        <v>967</v>
      </c>
      <c r="D3" s="438" t="s">
        <v>959</v>
      </c>
      <c r="E3" s="437" t="s">
        <v>943</v>
      </c>
    </row>
    <row r="4" spans="1:5" ht="38.25" x14ac:dyDescent="0.25">
      <c r="A4" s="465" t="s">
        <v>137</v>
      </c>
      <c r="B4" s="232" t="s">
        <v>743</v>
      </c>
      <c r="C4" s="135" t="s">
        <v>932</v>
      </c>
      <c r="D4" s="460">
        <f>350000+12200.47</f>
        <v>362200.47</v>
      </c>
      <c r="E4" s="473">
        <f>SUM(D4:D9)</f>
        <v>1152200.47</v>
      </c>
    </row>
    <row r="5" spans="1:5" ht="25.5" x14ac:dyDescent="0.25">
      <c r="A5" s="466"/>
      <c r="B5" s="232" t="s">
        <v>745</v>
      </c>
      <c r="C5" s="135" t="s">
        <v>932</v>
      </c>
      <c r="D5" s="435"/>
      <c r="E5" s="474"/>
    </row>
    <row r="6" spans="1:5" ht="25.5" x14ac:dyDescent="0.25">
      <c r="A6" s="466"/>
      <c r="B6" s="232" t="s">
        <v>944</v>
      </c>
      <c r="C6" s="135" t="s">
        <v>932</v>
      </c>
      <c r="D6" s="435"/>
      <c r="E6" s="474"/>
    </row>
    <row r="7" spans="1:5" ht="25.5" x14ac:dyDescent="0.25">
      <c r="A7" s="466"/>
      <c r="B7" s="232" t="s">
        <v>744</v>
      </c>
      <c r="C7" s="135" t="s">
        <v>932</v>
      </c>
      <c r="D7" s="460">
        <v>515000</v>
      </c>
      <c r="E7" s="474"/>
    </row>
    <row r="8" spans="1:5" ht="38.25" x14ac:dyDescent="0.25">
      <c r="A8" s="466"/>
      <c r="B8" s="232" t="s">
        <v>945</v>
      </c>
      <c r="C8" s="135" t="s">
        <v>932</v>
      </c>
      <c r="D8" s="460">
        <v>250000</v>
      </c>
      <c r="E8" s="474"/>
    </row>
    <row r="9" spans="1:5" ht="63.75" x14ac:dyDescent="0.25">
      <c r="A9" s="467"/>
      <c r="B9" s="232" t="s">
        <v>596</v>
      </c>
      <c r="C9" s="135" t="s">
        <v>932</v>
      </c>
      <c r="D9" s="460">
        <f>25000</f>
        <v>25000</v>
      </c>
      <c r="E9" s="475"/>
    </row>
    <row r="10" spans="1:5" ht="38.25" x14ac:dyDescent="0.25">
      <c r="A10" s="465" t="s">
        <v>614</v>
      </c>
      <c r="B10" s="232" t="s">
        <v>749</v>
      </c>
      <c r="C10" s="135" t="s">
        <v>934</v>
      </c>
      <c r="D10" s="439"/>
      <c r="E10" s="476">
        <f>SUM(D10:D14)</f>
        <v>1940000</v>
      </c>
    </row>
    <row r="11" spans="1:5" ht="38.25" x14ac:dyDescent="0.25">
      <c r="A11" s="466"/>
      <c r="B11" s="232" t="s">
        <v>750</v>
      </c>
      <c r="C11" s="135" t="s">
        <v>932</v>
      </c>
      <c r="D11" s="439"/>
      <c r="E11" s="476"/>
    </row>
    <row r="12" spans="1:5" ht="51" x14ac:dyDescent="0.25">
      <c r="A12" s="466"/>
      <c r="B12" s="232" t="s">
        <v>946</v>
      </c>
      <c r="C12" s="135" t="s">
        <v>932</v>
      </c>
      <c r="D12" s="455">
        <v>1840000</v>
      </c>
      <c r="E12" s="476"/>
    </row>
    <row r="13" spans="1:5" ht="51" x14ac:dyDescent="0.25">
      <c r="A13" s="466"/>
      <c r="B13" s="232" t="s">
        <v>751</v>
      </c>
      <c r="C13" s="135" t="s">
        <v>932</v>
      </c>
      <c r="D13" s="455">
        <v>100000</v>
      </c>
      <c r="E13" s="476"/>
    </row>
    <row r="14" spans="1:5" ht="25.5" x14ac:dyDescent="0.25">
      <c r="A14" s="467"/>
      <c r="B14" s="232" t="s">
        <v>947</v>
      </c>
      <c r="C14" s="232" t="s">
        <v>931</v>
      </c>
      <c r="D14" s="439"/>
      <c r="E14" s="476"/>
    </row>
    <row r="15" spans="1:5" ht="51" x14ac:dyDescent="0.25">
      <c r="A15" s="76" t="s">
        <v>241</v>
      </c>
      <c r="B15" s="232" t="s">
        <v>754</v>
      </c>
      <c r="C15" s="135" t="s">
        <v>933</v>
      </c>
      <c r="D15" s="459">
        <v>300000</v>
      </c>
      <c r="E15" s="464">
        <f>SUM(D15)</f>
        <v>300000</v>
      </c>
    </row>
    <row r="16" spans="1:5" ht="51" x14ac:dyDescent="0.25">
      <c r="A16" s="377" t="s">
        <v>38</v>
      </c>
      <c r="B16" s="232" t="s">
        <v>975</v>
      </c>
      <c r="C16" s="135" t="s">
        <v>933</v>
      </c>
      <c r="D16" s="440"/>
      <c r="E16" s="440">
        <f>SUM(D16)</f>
        <v>0</v>
      </c>
    </row>
    <row r="17" spans="1:7" ht="25.5" x14ac:dyDescent="0.25">
      <c r="A17" s="465" t="s">
        <v>204</v>
      </c>
      <c r="B17" s="232" t="s">
        <v>948</v>
      </c>
      <c r="C17" s="135" t="s">
        <v>932</v>
      </c>
      <c r="D17" s="168"/>
      <c r="E17" s="468">
        <f>SUM(D17:D30)</f>
        <v>10178431.5</v>
      </c>
    </row>
    <row r="18" spans="1:7" ht="25.5" x14ac:dyDescent="0.25">
      <c r="A18" s="466"/>
      <c r="B18" s="232" t="s">
        <v>949</v>
      </c>
      <c r="C18" s="135" t="s">
        <v>932</v>
      </c>
      <c r="D18" s="458">
        <v>170000</v>
      </c>
      <c r="E18" s="469"/>
    </row>
    <row r="19" spans="1:7" ht="25.5" x14ac:dyDescent="0.25">
      <c r="A19" s="466"/>
      <c r="B19" s="232" t="s">
        <v>758</v>
      </c>
      <c r="C19" s="135" t="s">
        <v>932</v>
      </c>
      <c r="D19" s="458">
        <v>1999244</v>
      </c>
      <c r="E19" s="469"/>
    </row>
    <row r="20" spans="1:7" ht="25.5" x14ac:dyDescent="0.25">
      <c r="A20" s="466"/>
      <c r="B20" s="232" t="s">
        <v>759</v>
      </c>
      <c r="C20" s="135" t="s">
        <v>931</v>
      </c>
      <c r="D20" s="458">
        <v>151600</v>
      </c>
      <c r="E20" s="469"/>
    </row>
    <row r="21" spans="1:7" ht="38.25" x14ac:dyDescent="0.25">
      <c r="A21" s="466"/>
      <c r="B21" s="232" t="s">
        <v>961</v>
      </c>
      <c r="C21" s="135" t="s">
        <v>932</v>
      </c>
      <c r="D21" s="458">
        <v>1000000</v>
      </c>
      <c r="E21" s="469"/>
    </row>
    <row r="22" spans="1:7" ht="38.25" x14ac:dyDescent="0.25">
      <c r="A22" s="466"/>
      <c r="B22" s="232" t="s">
        <v>963</v>
      </c>
      <c r="C22" s="135" t="s">
        <v>932</v>
      </c>
      <c r="D22" s="458">
        <v>869000</v>
      </c>
      <c r="E22" s="469"/>
    </row>
    <row r="23" spans="1:7" ht="38.25" x14ac:dyDescent="0.25">
      <c r="A23" s="466"/>
      <c r="B23" s="232" t="s">
        <v>764</v>
      </c>
      <c r="C23" s="135" t="s">
        <v>932</v>
      </c>
      <c r="D23" s="458">
        <v>283900</v>
      </c>
      <c r="E23" s="469"/>
      <c r="G23" s="432">
        <f>SUM(B23:B26)</f>
        <v>0</v>
      </c>
    </row>
    <row r="24" spans="1:7" ht="25.5" x14ac:dyDescent="0.25">
      <c r="A24" s="466"/>
      <c r="B24" s="232" t="s">
        <v>965</v>
      </c>
      <c r="C24" s="135" t="s">
        <v>932</v>
      </c>
      <c r="D24" s="458">
        <v>132000</v>
      </c>
      <c r="E24" s="469"/>
    </row>
    <row r="25" spans="1:7" ht="38.25" x14ac:dyDescent="0.25">
      <c r="A25" s="466"/>
      <c r="B25" s="232" t="s">
        <v>950</v>
      </c>
      <c r="C25" s="232" t="s">
        <v>932</v>
      </c>
      <c r="D25" s="458">
        <v>148000</v>
      </c>
      <c r="E25" s="469"/>
    </row>
    <row r="26" spans="1:7" ht="26.25" x14ac:dyDescent="0.25">
      <c r="A26" s="466"/>
      <c r="B26" s="441" t="s">
        <v>845</v>
      </c>
      <c r="C26" s="135" t="s">
        <v>932</v>
      </c>
      <c r="D26" s="442"/>
      <c r="E26" s="469"/>
    </row>
    <row r="27" spans="1:7" ht="26.25" x14ac:dyDescent="0.25">
      <c r="A27" s="466"/>
      <c r="B27" s="441" t="s">
        <v>951</v>
      </c>
      <c r="C27" s="135" t="s">
        <v>930</v>
      </c>
      <c r="D27" s="442"/>
      <c r="E27" s="469"/>
    </row>
    <row r="28" spans="1:7" x14ac:dyDescent="0.25">
      <c r="A28" s="466"/>
      <c r="B28" s="443" t="s">
        <v>960</v>
      </c>
      <c r="C28" s="135" t="s">
        <v>932</v>
      </c>
      <c r="D28" s="456">
        <f>996250+1128437.5</f>
        <v>2124687.5</v>
      </c>
      <c r="E28" s="469"/>
    </row>
    <row r="29" spans="1:7" ht="60" x14ac:dyDescent="0.25">
      <c r="A29" s="466"/>
      <c r="B29" s="444" t="s">
        <v>937</v>
      </c>
      <c r="C29" s="135" t="s">
        <v>934</v>
      </c>
      <c r="D29" s="456">
        <f>1000000+800000</f>
        <v>1800000</v>
      </c>
      <c r="E29" s="469"/>
    </row>
    <row r="30" spans="1:7" ht="39" x14ac:dyDescent="0.25">
      <c r="A30" s="467"/>
      <c r="B30" s="441" t="s">
        <v>952</v>
      </c>
      <c r="C30" s="135" t="s">
        <v>934</v>
      </c>
      <c r="D30" s="457">
        <v>1500000</v>
      </c>
      <c r="E30" s="470"/>
    </row>
    <row r="31" spans="1:7" ht="25.5" x14ac:dyDescent="0.25">
      <c r="A31" s="477" t="s">
        <v>26</v>
      </c>
      <c r="B31" s="232" t="s">
        <v>964</v>
      </c>
      <c r="C31" s="135" t="s">
        <v>930</v>
      </c>
      <c r="D31" s="455">
        <f>1239916+100000+60000</f>
        <v>1399916</v>
      </c>
      <c r="E31" s="476">
        <f>SUM(D31:D37)</f>
        <v>39966824.009999998</v>
      </c>
    </row>
    <row r="32" spans="1:7" ht="38.25" x14ac:dyDescent="0.25">
      <c r="A32" s="477"/>
      <c r="B32" s="232" t="s">
        <v>765</v>
      </c>
      <c r="C32" s="135" t="s">
        <v>932</v>
      </c>
      <c r="D32" s="455">
        <f>1629920</f>
        <v>1629920</v>
      </c>
      <c r="E32" s="476"/>
    </row>
    <row r="33" spans="1:5" ht="38.25" x14ac:dyDescent="0.25">
      <c r="A33" s="477"/>
      <c r="B33" s="232" t="s">
        <v>767</v>
      </c>
      <c r="C33" s="232" t="s">
        <v>930</v>
      </c>
      <c r="D33" s="439"/>
      <c r="E33" s="476"/>
    </row>
    <row r="34" spans="1:5" ht="60" x14ac:dyDescent="0.25">
      <c r="A34" s="477"/>
      <c r="B34" s="180" t="s">
        <v>939</v>
      </c>
      <c r="C34" s="135" t="s">
        <v>932</v>
      </c>
      <c r="D34" s="455">
        <v>168540</v>
      </c>
      <c r="E34" s="476"/>
    </row>
    <row r="35" spans="1:5" ht="25.5" x14ac:dyDescent="0.25">
      <c r="A35" s="477"/>
      <c r="B35" s="232" t="s">
        <v>953</v>
      </c>
      <c r="C35" s="232" t="s">
        <v>932</v>
      </c>
      <c r="D35" s="439"/>
      <c r="E35" s="476"/>
    </row>
    <row r="36" spans="1:5" ht="25.5" x14ac:dyDescent="0.25">
      <c r="A36" s="477"/>
      <c r="B36" s="106" t="s">
        <v>954</v>
      </c>
      <c r="C36" s="135" t="s">
        <v>932</v>
      </c>
      <c r="D36" s="455">
        <v>36618448.009999998</v>
      </c>
      <c r="E36" s="476"/>
    </row>
    <row r="37" spans="1:5" ht="60" x14ac:dyDescent="0.25">
      <c r="A37" s="477"/>
      <c r="B37" s="180" t="s">
        <v>972</v>
      </c>
      <c r="C37" s="135"/>
      <c r="D37" s="455">
        <v>150000</v>
      </c>
      <c r="E37" s="476"/>
    </row>
    <row r="38" spans="1:5" x14ac:dyDescent="0.25">
      <c r="A38" s="465" t="s">
        <v>18</v>
      </c>
      <c r="B38" s="478" t="s">
        <v>966</v>
      </c>
      <c r="C38" s="478" t="s">
        <v>930</v>
      </c>
      <c r="D38" s="480">
        <f>130000+18000</f>
        <v>148000</v>
      </c>
      <c r="E38" s="468">
        <f>SUM(D38:D44)</f>
        <v>890140</v>
      </c>
    </row>
    <row r="39" spans="1:5" ht="28.5" customHeight="1" x14ac:dyDescent="0.25">
      <c r="A39" s="466"/>
      <c r="B39" s="479"/>
      <c r="C39" s="479"/>
      <c r="D39" s="481"/>
      <c r="E39" s="469"/>
    </row>
    <row r="40" spans="1:5" ht="38.25" x14ac:dyDescent="0.25">
      <c r="A40" s="466"/>
      <c r="B40" s="168" t="s">
        <v>969</v>
      </c>
      <c r="C40" s="435" t="s">
        <v>932</v>
      </c>
      <c r="D40" s="463">
        <f>189340+100000</f>
        <v>289340</v>
      </c>
      <c r="E40" s="469"/>
    </row>
    <row r="41" spans="1:5" ht="25.5" x14ac:dyDescent="0.25">
      <c r="A41" s="466"/>
      <c r="B41" s="168" t="s">
        <v>968</v>
      </c>
      <c r="C41" s="435" t="s">
        <v>932</v>
      </c>
      <c r="D41" s="463">
        <v>92800</v>
      </c>
      <c r="E41" s="469"/>
    </row>
    <row r="42" spans="1:5" ht="45" x14ac:dyDescent="0.25">
      <c r="A42" s="466"/>
      <c r="B42" s="444" t="s">
        <v>681</v>
      </c>
      <c r="C42" s="435" t="s">
        <v>931</v>
      </c>
      <c r="D42" s="464">
        <v>300000</v>
      </c>
      <c r="E42" s="469"/>
    </row>
    <row r="43" spans="1:5" ht="75" x14ac:dyDescent="0.25">
      <c r="A43" s="466"/>
      <c r="B43" s="444" t="s">
        <v>938</v>
      </c>
      <c r="C43" s="435" t="s">
        <v>931</v>
      </c>
      <c r="D43" s="464">
        <v>60000</v>
      </c>
      <c r="E43" s="469"/>
    </row>
    <row r="44" spans="1:5" ht="25.5" x14ac:dyDescent="0.25">
      <c r="A44" s="467"/>
      <c r="B44" s="168" t="s">
        <v>872</v>
      </c>
      <c r="C44" s="435" t="s">
        <v>932</v>
      </c>
      <c r="D44" s="440"/>
      <c r="E44" s="470"/>
    </row>
    <row r="45" spans="1:5" ht="60" x14ac:dyDescent="0.25">
      <c r="A45" s="465" t="s">
        <v>456</v>
      </c>
      <c r="B45" s="180" t="s">
        <v>970</v>
      </c>
      <c r="C45" s="435" t="s">
        <v>932</v>
      </c>
      <c r="D45" s="435">
        <f>59010+58000</f>
        <v>117010</v>
      </c>
      <c r="E45" s="468">
        <f>SUM(D45:D48)</f>
        <v>392685</v>
      </c>
    </row>
    <row r="46" spans="1:5" ht="45" x14ac:dyDescent="0.25">
      <c r="A46" s="466"/>
      <c r="B46" s="180" t="s">
        <v>971</v>
      </c>
      <c r="C46" s="435" t="s">
        <v>932</v>
      </c>
      <c r="D46" s="462">
        <v>275675</v>
      </c>
      <c r="E46" s="482"/>
    </row>
    <row r="47" spans="1:5" ht="38.25" customHeight="1" x14ac:dyDescent="0.25">
      <c r="A47" s="466"/>
      <c r="B47" s="232" t="s">
        <v>772</v>
      </c>
      <c r="C47" s="135" t="s">
        <v>932</v>
      </c>
      <c r="D47" s="440"/>
      <c r="E47" s="482"/>
    </row>
    <row r="48" spans="1:5" ht="60" x14ac:dyDescent="0.25">
      <c r="A48" s="467"/>
      <c r="B48" s="445" t="s">
        <v>773</v>
      </c>
      <c r="C48" s="135" t="s">
        <v>932</v>
      </c>
      <c r="D48" s="440"/>
      <c r="E48" s="483"/>
    </row>
    <row r="49" spans="1:5" ht="25.5" x14ac:dyDescent="0.25">
      <c r="A49" s="477" t="s">
        <v>487</v>
      </c>
      <c r="B49" s="232" t="s">
        <v>774</v>
      </c>
      <c r="C49" s="135" t="s">
        <v>932</v>
      </c>
      <c r="D49" s="459">
        <f>500000</f>
        <v>500000</v>
      </c>
      <c r="E49" s="476">
        <f>SUM(D49:D52)</f>
        <v>800000</v>
      </c>
    </row>
    <row r="50" spans="1:5" ht="38.25" x14ac:dyDescent="0.25">
      <c r="A50" s="477"/>
      <c r="B50" s="232" t="s">
        <v>775</v>
      </c>
      <c r="C50" s="135" t="s">
        <v>930</v>
      </c>
      <c r="D50" s="440"/>
      <c r="E50" s="476"/>
    </row>
    <row r="51" spans="1:5" x14ac:dyDescent="0.25">
      <c r="A51" s="477"/>
      <c r="B51" s="444" t="s">
        <v>962</v>
      </c>
      <c r="C51" s="446"/>
      <c r="D51" s="447"/>
      <c r="E51" s="476"/>
    </row>
    <row r="52" spans="1:5" ht="26.25" x14ac:dyDescent="0.25">
      <c r="A52" s="477"/>
      <c r="B52" s="448" t="s">
        <v>955</v>
      </c>
      <c r="C52" s="446" t="s">
        <v>932</v>
      </c>
      <c r="D52" s="461">
        <v>300000</v>
      </c>
      <c r="E52" s="476"/>
    </row>
    <row r="53" spans="1:5" ht="51" x14ac:dyDescent="0.25">
      <c r="A53" s="465" t="s">
        <v>438</v>
      </c>
      <c r="B53" s="232" t="s">
        <v>777</v>
      </c>
      <c r="C53" s="135" t="s">
        <v>932</v>
      </c>
      <c r="D53" s="440"/>
      <c r="E53" s="468">
        <f>SUM(D53:D58)</f>
        <v>2624835</v>
      </c>
    </row>
    <row r="54" spans="1:5" ht="25.5" x14ac:dyDescent="0.25">
      <c r="A54" s="466"/>
      <c r="B54" s="449" t="s">
        <v>973</v>
      </c>
      <c r="C54" s="135" t="s">
        <v>932</v>
      </c>
      <c r="D54" s="459">
        <v>286000</v>
      </c>
      <c r="E54" s="469"/>
    </row>
    <row r="55" spans="1:5" ht="30" x14ac:dyDescent="0.25">
      <c r="A55" s="466"/>
      <c r="B55" s="450" t="s">
        <v>776</v>
      </c>
      <c r="C55" s="135" t="s">
        <v>930</v>
      </c>
      <c r="D55" s="459">
        <f>25000+120000+157500</f>
        <v>302500</v>
      </c>
      <c r="E55" s="469"/>
    </row>
    <row r="56" spans="1:5" ht="25.5" x14ac:dyDescent="0.25">
      <c r="A56" s="466"/>
      <c r="B56" s="232" t="s">
        <v>778</v>
      </c>
      <c r="C56" s="135" t="s">
        <v>932</v>
      </c>
      <c r="D56" s="459">
        <v>1836335</v>
      </c>
      <c r="E56" s="469"/>
    </row>
    <row r="57" spans="1:5" ht="60" x14ac:dyDescent="0.25">
      <c r="A57" s="466"/>
      <c r="B57" s="451" t="s">
        <v>974</v>
      </c>
      <c r="C57" s="135" t="s">
        <v>932</v>
      </c>
      <c r="D57" s="459">
        <v>200000</v>
      </c>
      <c r="E57" s="469"/>
    </row>
    <row r="58" spans="1:5" ht="25.5" x14ac:dyDescent="0.25">
      <c r="A58" s="467"/>
      <c r="B58" s="106" t="s">
        <v>804</v>
      </c>
      <c r="C58" s="446" t="s">
        <v>932</v>
      </c>
      <c r="D58" s="439"/>
      <c r="E58" s="470"/>
    </row>
    <row r="59" spans="1:5" ht="25.5" x14ac:dyDescent="0.25">
      <c r="A59" s="477" t="s">
        <v>23</v>
      </c>
      <c r="B59" s="232" t="s">
        <v>780</v>
      </c>
      <c r="C59" s="135" t="s">
        <v>930</v>
      </c>
      <c r="D59" s="440"/>
      <c r="E59" s="484">
        <f>SUM(D59:D63)</f>
        <v>0</v>
      </c>
    </row>
    <row r="60" spans="1:5" ht="25.5" x14ac:dyDescent="0.25">
      <c r="A60" s="477"/>
      <c r="B60" s="232" t="s">
        <v>956</v>
      </c>
      <c r="C60" s="135" t="s">
        <v>932</v>
      </c>
      <c r="D60" s="440"/>
      <c r="E60" s="484"/>
    </row>
    <row r="61" spans="1:5" ht="60" x14ac:dyDescent="0.25">
      <c r="A61" s="477"/>
      <c r="B61" s="431" t="s">
        <v>935</v>
      </c>
      <c r="C61" s="135" t="s">
        <v>934</v>
      </c>
      <c r="D61" s="440"/>
      <c r="E61" s="484"/>
    </row>
    <row r="62" spans="1:5" ht="60" x14ac:dyDescent="0.25">
      <c r="A62" s="477"/>
      <c r="B62" s="80" t="s">
        <v>936</v>
      </c>
      <c r="C62" s="135" t="s">
        <v>932</v>
      </c>
      <c r="D62" s="440"/>
      <c r="E62" s="484"/>
    </row>
    <row r="63" spans="1:5" ht="25.5" x14ac:dyDescent="0.25">
      <c r="A63" s="477"/>
      <c r="B63" s="232" t="s">
        <v>782</v>
      </c>
      <c r="C63" s="135" t="s">
        <v>932</v>
      </c>
      <c r="D63" s="440"/>
      <c r="E63" s="484"/>
    </row>
    <row r="64" spans="1:5" x14ac:dyDescent="0.25">
      <c r="A64" s="465" t="s">
        <v>107</v>
      </c>
      <c r="B64" s="232" t="s">
        <v>784</v>
      </c>
      <c r="C64" s="135" t="s">
        <v>932</v>
      </c>
      <c r="D64" s="459">
        <f>20450+299154+250614</f>
        <v>570218</v>
      </c>
      <c r="E64" s="468">
        <f>SUM(D64:D67)</f>
        <v>14181407</v>
      </c>
    </row>
    <row r="65" spans="1:5" ht="25.5" x14ac:dyDescent="0.25">
      <c r="A65" s="466"/>
      <c r="B65" s="232" t="s">
        <v>785</v>
      </c>
      <c r="C65" s="135" t="s">
        <v>933</v>
      </c>
      <c r="D65" s="459">
        <f>914975+1950455+847886+572008+1209012+408517+2393860+2224328</f>
        <v>10521041</v>
      </c>
      <c r="E65" s="469"/>
    </row>
    <row r="66" spans="1:5" x14ac:dyDescent="0.25">
      <c r="A66" s="466"/>
      <c r="B66" s="232" t="s">
        <v>783</v>
      </c>
      <c r="C66" s="135" t="s">
        <v>930</v>
      </c>
      <c r="D66" s="459">
        <v>2800000</v>
      </c>
      <c r="E66" s="469"/>
    </row>
    <row r="67" spans="1:5" ht="25.5" x14ac:dyDescent="0.25">
      <c r="A67" s="467"/>
      <c r="B67" s="232" t="s">
        <v>957</v>
      </c>
      <c r="C67" s="135" t="s">
        <v>932</v>
      </c>
      <c r="D67" s="455">
        <f>58648+12000+120000+42000+57500</f>
        <v>290148</v>
      </c>
      <c r="E67" s="470"/>
    </row>
    <row r="68" spans="1:5" x14ac:dyDescent="0.25">
      <c r="A68" s="377" t="s">
        <v>786</v>
      </c>
      <c r="B68" s="232"/>
      <c r="C68" s="135"/>
      <c r="D68" s="459">
        <v>385353.85</v>
      </c>
      <c r="E68" s="440">
        <f>SUM(D68)</f>
        <v>385353.85</v>
      </c>
    </row>
    <row r="69" spans="1:5" x14ac:dyDescent="0.25">
      <c r="A69" s="452"/>
      <c r="B69" s="452"/>
      <c r="C69" s="453" t="s">
        <v>396</v>
      </c>
      <c r="D69" s="454">
        <f>SUM(D4:D68)</f>
        <v>72811876.829999983</v>
      </c>
      <c r="E69" s="454">
        <f>SUM(E4:E68)</f>
        <v>72811876.829999983</v>
      </c>
    </row>
  </sheetData>
  <mergeCells count="24">
    <mergeCell ref="A45:A48"/>
    <mergeCell ref="E45:E48"/>
    <mergeCell ref="A64:A67"/>
    <mergeCell ref="E64:E67"/>
    <mergeCell ref="A49:A52"/>
    <mergeCell ref="E49:E52"/>
    <mergeCell ref="A53:A58"/>
    <mergeCell ref="E53:E58"/>
    <mergeCell ref="A59:A63"/>
    <mergeCell ref="E59:E63"/>
    <mergeCell ref="A31:A37"/>
    <mergeCell ref="E31:E37"/>
    <mergeCell ref="A38:A44"/>
    <mergeCell ref="E38:E44"/>
    <mergeCell ref="B38:B39"/>
    <mergeCell ref="C38:C39"/>
    <mergeCell ref="D38:D39"/>
    <mergeCell ref="A17:A30"/>
    <mergeCell ref="E17:E30"/>
    <mergeCell ref="D2:E2"/>
    <mergeCell ref="A4:A9"/>
    <mergeCell ref="E4:E9"/>
    <mergeCell ref="A10:A14"/>
    <mergeCell ref="E10:E14"/>
  </mergeCells>
  <pageMargins left="0.11811023622047245" right="0.11811023622047245" top="0.74803149606299213"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Sector list</vt:lpstr>
      <vt:lpstr>Sector details-upto feb</vt:lpstr>
      <vt:lpstr>Sector details-upto 31 mar</vt:lpstr>
      <vt:lpstr>expected exp</vt:lpstr>
      <vt:lpstr>PMO details</vt:lpstr>
      <vt:lpstr>Q1 exp.</vt:lpstr>
      <vt:lpstr>'Q1 exp.'!Print_Area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2018-02-13T10:49:21Z</dcterms:modified>
</cp:coreProperties>
</file>